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Politechnika Poznańska\Dydaktyka\Technologia Materiałów Drogowych\Ćw Laboratoryjne\"/>
    </mc:Choice>
  </mc:AlternateContent>
  <bookViews>
    <workbookView xWindow="0" yWindow="0" windowWidth="38400" windowHeight="17115"/>
  </bookViews>
  <sheets>
    <sheet name="Projekt MM" sheetId="4" r:id="rId1"/>
    <sheet name="Wykres" sheetId="6" r:id="rId2"/>
    <sheet name="Baza kruszyw" sheetId="2" r:id="rId3"/>
    <sheet name="Krzywe gran. + zaw. asf. WT-2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4" l="1"/>
  <c r="AG26" i="6"/>
  <c r="AF26" i="6" s="1"/>
  <c r="AG28" i="6"/>
  <c r="AF28" i="6" s="1"/>
  <c r="AG29" i="6"/>
  <c r="AF29" i="6" s="1"/>
  <c r="AG30" i="6"/>
  <c r="AF30" i="6" s="1"/>
  <c r="AE26" i="6"/>
  <c r="AD26" i="6" s="1"/>
  <c r="AE28" i="6"/>
  <c r="AD28" i="6" s="1"/>
  <c r="AE29" i="6"/>
  <c r="AD29" i="6" s="1"/>
  <c r="AE30" i="6"/>
  <c r="AD30" i="6" s="1"/>
  <c r="M27" i="4"/>
  <c r="AE19" i="6" s="1"/>
  <c r="AD19" i="6" s="1"/>
  <c r="AD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4" i="6"/>
  <c r="N40" i="4"/>
  <c r="AG32" i="6" s="1"/>
  <c r="AF32" i="6" s="1"/>
  <c r="N39" i="4"/>
  <c r="AG31" i="6" s="1"/>
  <c r="AF31" i="6" s="1"/>
  <c r="N35" i="4"/>
  <c r="AG27" i="6" s="1"/>
  <c r="AF27" i="6" s="1"/>
  <c r="N33" i="4"/>
  <c r="AG25" i="6" s="1"/>
  <c r="AF25" i="6" s="1"/>
  <c r="N28" i="4"/>
  <c r="AG20" i="6" s="1"/>
  <c r="AF20" i="6" s="1"/>
  <c r="N27" i="4"/>
  <c r="AG19" i="6" s="1"/>
  <c r="AF19" i="6" s="1"/>
  <c r="N29" i="4"/>
  <c r="AG21" i="6" s="1"/>
  <c r="AF21" i="6" s="1"/>
  <c r="M40" i="4"/>
  <c r="AE32" i="6" s="1"/>
  <c r="AD32" i="6" s="1"/>
  <c r="M39" i="4"/>
  <c r="AE31" i="6" s="1"/>
  <c r="AD31" i="6" s="1"/>
  <c r="M35" i="4"/>
  <c r="AE27" i="6" s="1"/>
  <c r="AD27" i="6" s="1"/>
  <c r="M33" i="4"/>
  <c r="AE25" i="6" s="1"/>
  <c r="AD25" i="6" s="1"/>
  <c r="M32" i="4"/>
  <c r="AE24" i="6" s="1"/>
  <c r="AD24" i="6" s="1"/>
  <c r="M31" i="4"/>
  <c r="AE23" i="6" s="1"/>
  <c r="AD23" i="6" s="1"/>
  <c r="M30" i="4"/>
  <c r="AE22" i="6" s="1"/>
  <c r="AD22" i="6" s="1"/>
  <c r="M29" i="4"/>
  <c r="AE21" i="6" s="1"/>
  <c r="AD21" i="6" s="1"/>
  <c r="N32" i="4"/>
  <c r="AG24" i="6" s="1"/>
  <c r="AF24" i="6" s="1"/>
  <c r="N31" i="4"/>
  <c r="AG23" i="6" s="1"/>
  <c r="AF23" i="6" s="1"/>
  <c r="N30" i="4"/>
  <c r="AG22" i="6" s="1"/>
  <c r="AF22" i="6" s="1"/>
  <c r="M28" i="4"/>
  <c r="AE20" i="6" s="1"/>
  <c r="AD20" i="6" s="1"/>
  <c r="M25" i="4"/>
  <c r="I20" i="4"/>
  <c r="I19" i="4"/>
  <c r="I18" i="4"/>
  <c r="I41" i="4" s="1"/>
  <c r="I17" i="4"/>
  <c r="I40" i="4" s="1"/>
  <c r="I16" i="4"/>
  <c r="I39" i="4" s="1"/>
  <c r="I15" i="4"/>
  <c r="I38" i="4" s="1"/>
  <c r="I14" i="4"/>
  <c r="I37" i="4" s="1"/>
  <c r="I13" i="4"/>
  <c r="I36" i="4" s="1"/>
  <c r="I12" i="4"/>
  <c r="I35" i="4" s="1"/>
  <c r="I11" i="4"/>
  <c r="I34" i="4" s="1"/>
  <c r="I10" i="4"/>
  <c r="I33" i="4" s="1"/>
  <c r="I9" i="4"/>
  <c r="I32" i="4" s="1"/>
  <c r="I8" i="4"/>
  <c r="I31" i="4" s="1"/>
  <c r="I7" i="4"/>
  <c r="I30" i="4" s="1"/>
  <c r="I6" i="4"/>
  <c r="I29" i="4" s="1"/>
  <c r="I5" i="4"/>
  <c r="I28" i="4" s="1"/>
  <c r="I4" i="4"/>
  <c r="I27" i="4" s="1"/>
  <c r="H20" i="4"/>
  <c r="H19" i="4"/>
  <c r="H18" i="4"/>
  <c r="H41" i="4" s="1"/>
  <c r="H17" i="4"/>
  <c r="H40" i="4" s="1"/>
  <c r="H16" i="4"/>
  <c r="H39" i="4" s="1"/>
  <c r="H15" i="4"/>
  <c r="H38" i="4" s="1"/>
  <c r="H14" i="4"/>
  <c r="H37" i="4" s="1"/>
  <c r="H13" i="4"/>
  <c r="H36" i="4" s="1"/>
  <c r="H12" i="4"/>
  <c r="H35" i="4" s="1"/>
  <c r="H11" i="4"/>
  <c r="H34" i="4" s="1"/>
  <c r="H10" i="4"/>
  <c r="H33" i="4" s="1"/>
  <c r="H9" i="4"/>
  <c r="H32" i="4" s="1"/>
  <c r="H8" i="4"/>
  <c r="H31" i="4" s="1"/>
  <c r="H7" i="4"/>
  <c r="H30" i="4" s="1"/>
  <c r="H6" i="4"/>
  <c r="H29" i="4" s="1"/>
  <c r="H5" i="4"/>
  <c r="H28" i="4" s="1"/>
  <c r="H4" i="4"/>
  <c r="H27" i="4" s="1"/>
  <c r="G20" i="4"/>
  <c r="G19" i="4"/>
  <c r="G18" i="4"/>
  <c r="G41" i="4" s="1"/>
  <c r="G17" i="4"/>
  <c r="G40" i="4" s="1"/>
  <c r="G16" i="4"/>
  <c r="G39" i="4" s="1"/>
  <c r="G15" i="4"/>
  <c r="G38" i="4" s="1"/>
  <c r="G14" i="4"/>
  <c r="G37" i="4" s="1"/>
  <c r="G13" i="4"/>
  <c r="G36" i="4" s="1"/>
  <c r="G12" i="4"/>
  <c r="G35" i="4" s="1"/>
  <c r="G11" i="4"/>
  <c r="G34" i="4" s="1"/>
  <c r="G10" i="4"/>
  <c r="G33" i="4" s="1"/>
  <c r="G9" i="4"/>
  <c r="G32" i="4" s="1"/>
  <c r="G8" i="4"/>
  <c r="G31" i="4" s="1"/>
  <c r="G7" i="4"/>
  <c r="G30" i="4" s="1"/>
  <c r="G6" i="4"/>
  <c r="G29" i="4" s="1"/>
  <c r="G5" i="4"/>
  <c r="G28" i="4" s="1"/>
  <c r="G4" i="4"/>
  <c r="G27" i="4" s="1"/>
  <c r="F20" i="4"/>
  <c r="F19" i="4"/>
  <c r="F18" i="4"/>
  <c r="F41" i="4" s="1"/>
  <c r="F17" i="4"/>
  <c r="F40" i="4" s="1"/>
  <c r="F16" i="4"/>
  <c r="F39" i="4" s="1"/>
  <c r="F15" i="4"/>
  <c r="F38" i="4" s="1"/>
  <c r="F14" i="4"/>
  <c r="F37" i="4" s="1"/>
  <c r="F13" i="4"/>
  <c r="F36" i="4" s="1"/>
  <c r="F12" i="4"/>
  <c r="F35" i="4" s="1"/>
  <c r="F11" i="4"/>
  <c r="F34" i="4" s="1"/>
  <c r="F10" i="4"/>
  <c r="F33" i="4" s="1"/>
  <c r="F9" i="4"/>
  <c r="F32" i="4" s="1"/>
  <c r="F8" i="4"/>
  <c r="F31" i="4" s="1"/>
  <c r="F7" i="4"/>
  <c r="F30" i="4" s="1"/>
  <c r="F6" i="4"/>
  <c r="F29" i="4" s="1"/>
  <c r="F5" i="4"/>
  <c r="F28" i="4" s="1"/>
  <c r="F4" i="4"/>
  <c r="F27" i="4" s="1"/>
  <c r="E20" i="4"/>
  <c r="E19" i="4"/>
  <c r="E18" i="4"/>
  <c r="E41" i="4" s="1"/>
  <c r="E17" i="4"/>
  <c r="E40" i="4" s="1"/>
  <c r="E16" i="4"/>
  <c r="E39" i="4" s="1"/>
  <c r="E15" i="4"/>
  <c r="E38" i="4" s="1"/>
  <c r="E14" i="4"/>
  <c r="E37" i="4" s="1"/>
  <c r="E13" i="4"/>
  <c r="E36" i="4" s="1"/>
  <c r="E12" i="4"/>
  <c r="E35" i="4" s="1"/>
  <c r="E11" i="4"/>
  <c r="E34" i="4" s="1"/>
  <c r="E10" i="4"/>
  <c r="E33" i="4" s="1"/>
  <c r="E9" i="4"/>
  <c r="E32" i="4" s="1"/>
  <c r="E8" i="4"/>
  <c r="E31" i="4" s="1"/>
  <c r="E7" i="4"/>
  <c r="E30" i="4" s="1"/>
  <c r="E6" i="4"/>
  <c r="E29" i="4" s="1"/>
  <c r="E5" i="4"/>
  <c r="E28" i="4" s="1"/>
  <c r="E4" i="4"/>
  <c r="E27" i="4" s="1"/>
  <c r="D20" i="4"/>
  <c r="D19" i="4"/>
  <c r="D18" i="4"/>
  <c r="D41" i="4" s="1"/>
  <c r="D17" i="4"/>
  <c r="D40" i="4" s="1"/>
  <c r="D16" i="4"/>
  <c r="D39" i="4" s="1"/>
  <c r="D15" i="4"/>
  <c r="D38" i="4" s="1"/>
  <c r="D14" i="4"/>
  <c r="D37" i="4" s="1"/>
  <c r="D13" i="4"/>
  <c r="D36" i="4" s="1"/>
  <c r="D12" i="4"/>
  <c r="D35" i="4" s="1"/>
  <c r="D11" i="4"/>
  <c r="D34" i="4" s="1"/>
  <c r="D10" i="4"/>
  <c r="D33" i="4" s="1"/>
  <c r="D9" i="4"/>
  <c r="D32" i="4" s="1"/>
  <c r="D8" i="4"/>
  <c r="D31" i="4" s="1"/>
  <c r="D7" i="4"/>
  <c r="D30" i="4" s="1"/>
  <c r="D6" i="4"/>
  <c r="D29" i="4" s="1"/>
  <c r="D5" i="4"/>
  <c r="D28" i="4" s="1"/>
  <c r="D4" i="4"/>
  <c r="D27" i="4" s="1"/>
  <c r="I3" i="4"/>
  <c r="I26" i="4" s="1"/>
  <c r="H3" i="4"/>
  <c r="H26" i="4" s="1"/>
  <c r="G3" i="4"/>
  <c r="G26" i="4" s="1"/>
  <c r="F3" i="4"/>
  <c r="F26" i="4" s="1"/>
  <c r="E3" i="4"/>
  <c r="E26" i="4" s="1"/>
  <c r="D3" i="4"/>
  <c r="D26" i="4" s="1"/>
  <c r="C20" i="4"/>
  <c r="C19" i="4"/>
  <c r="C18" i="4"/>
  <c r="C41" i="4" s="1"/>
  <c r="C17" i="4"/>
  <c r="C40" i="4" s="1"/>
  <c r="K40" i="4" s="1"/>
  <c r="C16" i="4"/>
  <c r="C39" i="4" s="1"/>
  <c r="C15" i="4"/>
  <c r="C38" i="4" s="1"/>
  <c r="C14" i="4"/>
  <c r="C37" i="4" s="1"/>
  <c r="C13" i="4"/>
  <c r="C36" i="4" s="1"/>
  <c r="C11" i="4"/>
  <c r="C34" i="4" s="1"/>
  <c r="C12" i="4"/>
  <c r="C35" i="4" s="1"/>
  <c r="C10" i="4"/>
  <c r="C33" i="4" s="1"/>
  <c r="C9" i="4"/>
  <c r="C32" i="4" s="1"/>
  <c r="C8" i="4"/>
  <c r="C31" i="4" s="1"/>
  <c r="C7" i="4"/>
  <c r="C30" i="4" s="1"/>
  <c r="C6" i="4"/>
  <c r="C29" i="4" s="1"/>
  <c r="C5" i="4"/>
  <c r="C28" i="4" s="1"/>
  <c r="C4" i="4"/>
  <c r="C27" i="4" s="1"/>
  <c r="C3" i="4"/>
  <c r="C26" i="4" s="1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C19" i="2"/>
  <c r="K34" i="4" l="1"/>
  <c r="K36" i="4"/>
  <c r="K37" i="4"/>
  <c r="K29" i="4"/>
  <c r="K38" i="4"/>
  <c r="K39" i="4"/>
  <c r="K41" i="4"/>
  <c r="K27" i="4"/>
  <c r="K28" i="4"/>
  <c r="K30" i="4"/>
  <c r="K31" i="4"/>
  <c r="K32" i="4"/>
  <c r="K33" i="4"/>
  <c r="K35" i="4"/>
  <c r="L40" i="4"/>
  <c r="L39" i="4" s="1"/>
  <c r="L38" i="4" s="1"/>
  <c r="L37" i="4" s="1"/>
  <c r="L36" i="4" s="1"/>
  <c r="L35" i="4" s="1"/>
  <c r="L34" i="4" s="1"/>
  <c r="L33" i="4" s="1"/>
  <c r="L32" i="4" s="1"/>
  <c r="L31" i="4" s="1"/>
  <c r="L30" i="4" s="1"/>
  <c r="L29" i="4" s="1"/>
  <c r="L28" i="4" s="1"/>
  <c r="L27" i="4" s="1"/>
  <c r="K42" i="4" l="1"/>
  <c r="AE17" i="6"/>
  <c r="AE15" i="6"/>
  <c r="AE16" i="6"/>
  <c r="AE14" i="6" l="1"/>
  <c r="AE13" i="6"/>
  <c r="AE12" i="6" l="1"/>
  <c r="AE11" i="6" l="1"/>
  <c r="AE10" i="6" l="1"/>
  <c r="AE9" i="6" l="1"/>
  <c r="AE8" i="6" l="1"/>
  <c r="AE7" i="6" l="1"/>
  <c r="AE6" i="6" l="1"/>
  <c r="AE5" i="6" l="1"/>
  <c r="AE4" i="6" l="1"/>
</calcChain>
</file>

<file path=xl/sharedStrings.xml><?xml version="1.0" encoding="utf-8"?>
<sst xmlns="http://schemas.openxmlformats.org/spreadsheetml/2006/main" count="217" uniqueCount="84">
  <si>
    <t>&lt;0,063</t>
  </si>
  <si>
    <t>mączka wapienna nr 1</t>
  </si>
  <si>
    <t>mączka wapienna nr 2</t>
  </si>
  <si>
    <t>grys bazaltowy 2/6,3</t>
  </si>
  <si>
    <t>grys dolomit 2/8</t>
  </si>
  <si>
    <t>grys dolomit 8/12,8 nr 1</t>
  </si>
  <si>
    <t># mm</t>
  </si>
  <si>
    <t>dolna</t>
  </si>
  <si>
    <t>górna</t>
  </si>
  <si>
    <t>Zawartość lepiszcza</t>
  </si>
  <si>
    <t>Bmin [%]</t>
  </si>
  <si>
    <t>-</t>
  </si>
  <si>
    <t>suma [%]</t>
  </si>
  <si>
    <r>
      <t>gęstość [g/cm</t>
    </r>
    <r>
      <rPr>
        <b/>
        <vertAlign val="superscript"/>
        <sz val="9"/>
        <rFont val="Arial"/>
        <family val="2"/>
        <charset val="238"/>
      </rPr>
      <t>3]</t>
    </r>
  </si>
  <si>
    <t>kruszywo 1</t>
  </si>
  <si>
    <t>kruszywo 2</t>
  </si>
  <si>
    <t>kruszywo 3</t>
  </si>
  <si>
    <t>kruszywo 4</t>
  </si>
  <si>
    <t>kruszywo 5</t>
  </si>
  <si>
    <t>kruszywo 6</t>
  </si>
  <si>
    <t>kruszywo 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</si>
  <si>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</si>
  <si>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</si>
  <si>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</si>
  <si>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</si>
  <si>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</si>
  <si>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</si>
  <si>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</si>
  <si>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</si>
  <si>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</si>
  <si>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</si>
  <si>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</si>
  <si>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</si>
  <si>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</si>
  <si>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</si>
  <si>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</si>
  <si>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</si>
  <si>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</si>
  <si>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</si>
  <si>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</si>
  <si>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</si>
  <si>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</si>
  <si>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</si>
  <si>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puste</t>
  </si>
  <si>
    <t>ilość składników [%]</t>
  </si>
  <si>
    <t>sito</t>
  </si>
  <si>
    <t>SUMA [%]</t>
  </si>
  <si>
    <t>odsiew [%]</t>
  </si>
  <si>
    <t>przesiew [%]</t>
  </si>
  <si>
    <t>rzędne krzywej proj.</t>
  </si>
  <si>
    <t>Podbudowa AC KR 1-2 0/22</t>
  </si>
  <si>
    <t>Podbudowa AC KR 1-2 0/16</t>
  </si>
  <si>
    <t>Podbudowa AC KR 3-7 0/32</t>
  </si>
  <si>
    <t>Podbudowa AC KR 3-7 0/22</t>
  </si>
  <si>
    <t>Podbudowa AC KR 3-7 0/16</t>
  </si>
  <si>
    <t>Wiążąca AC KR 1-2 0/16</t>
  </si>
  <si>
    <t>Wiążąca AC KR 1-2 0/11</t>
  </si>
  <si>
    <t>Wiążąca AC KR 3-7 0/22</t>
  </si>
  <si>
    <t>Wiążąca AC KR 3-7 0/16</t>
  </si>
  <si>
    <t>Ścieralna AC KR 1-2 0/11</t>
  </si>
  <si>
    <t>Ścieralna AC KR 1-2 0/8</t>
  </si>
  <si>
    <t>Ścieralna AC KR 1-2 0/5</t>
  </si>
  <si>
    <t>Ścieralna AC KR 3-6 0/11</t>
  </si>
  <si>
    <t>Ścieralna AC KR 3-6  0/8</t>
  </si>
  <si>
    <t>Ścieralna SMA KR 1-4 0/5</t>
  </si>
  <si>
    <t>Ścieralna SMA KR 1-7 0/8</t>
  </si>
  <si>
    <t>Ścieralna SMA KR 3-4 0/11</t>
  </si>
  <si>
    <t>Ścieralna SMA KR 5-7 0/11</t>
  </si>
  <si>
    <t>Ścieralna MA KR 1-7 0/5</t>
  </si>
  <si>
    <t>Ścieralna MA KR 1-7 0/8</t>
  </si>
  <si>
    <t>Ścieralna MA KR 1-7 0/11</t>
  </si>
  <si>
    <t>Ścieralna MA KR 1-7 0/16</t>
  </si>
  <si>
    <t>piasek naturalny rzeczny  0/2</t>
  </si>
  <si>
    <t>piasek naturalny kopalniany 0/2</t>
  </si>
  <si>
    <t>piasek łamany granitowy 0/2</t>
  </si>
  <si>
    <t>grys gabro 2/5</t>
  </si>
  <si>
    <t>grys gabro 5/8</t>
  </si>
  <si>
    <t>grys melafirowy 5/8</t>
  </si>
  <si>
    <t>grys bazaltowy 4/9,6</t>
  </si>
  <si>
    <t>grys gabro 8/12,8</t>
  </si>
  <si>
    <t>grys bazaltowy 6,3/12,8</t>
  </si>
  <si>
    <t>grys dolomit 8/12,8 nr 2</t>
  </si>
  <si>
    <t>grys dolomit 8/16</t>
  </si>
  <si>
    <t>grys bazaltowy 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</si>
</sst>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.000\ _z_ł_-;\-* #,##0.000\ _z_ł_-;_-* &quot;-&quot;??\ _z_ł_-;_-@_-"/>
    <numFmt numFmtId="165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theme="9" tint="-0.249977111117893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Border="1"/>
    <xf numFmtId="0" fontId="4" fillId="0" borderId="0" xfId="0" applyFont="1"/>
    <xf numFmtId="164" fontId="5" fillId="0" borderId="0" xfId="1" applyNumberFormat="1" applyFont="1" applyFill="1" applyBorder="1" applyAlignment="1">
      <alignment horizontal="center"/>
    </xf>
    <xf numFmtId="165" fontId="6" fillId="0" borderId="0" xfId="0" applyNumberFormat="1" applyFont="1" applyBorder="1" applyAlignment="1" applyProtection="1">
      <alignment horizontal="center"/>
      <protection locked="0"/>
    </xf>
    <xf numFmtId="43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6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65" fontId="14" fillId="0" borderId="0" xfId="0" applyNumberFormat="1" applyFont="1" applyBorder="1" applyAlignment="1" applyProtection="1">
      <alignment horizontal="center"/>
      <protection locked="0"/>
    </xf>
    <xf numFmtId="165" fontId="8" fillId="0" borderId="0" xfId="0" applyNumberFormat="1" applyFont="1"/>
    <xf numFmtId="0" fontId="9" fillId="0" borderId="0" xfId="0" applyFont="1" applyBorder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 applyProtection="1">
      <alignment horizontal="center" vertical="center"/>
      <protection locked="0"/>
    </xf>
    <xf numFmtId="43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7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r>
              <a:rPr lang="pl-PL" sz="1600">
                <a:latin typeface="Arial" panose="020B0604020202020204" pitchFamily="34" charset="0"/>
                <a:cs typeface="Arial" panose="020B0604020202020204" pitchFamily="34" charset="0"/>
              </a:rPr>
              <a:t>Krzywa uziarnienia projektowanej mieszanki mineralnej</a:t>
            </a:r>
          </a:p>
        </c:rich>
      </c:tx>
      <c:layout>
        <c:manualLayout>
          <c:xMode val="edge"/>
          <c:yMode val="edge"/>
          <c:x val="0.35301871006484092"/>
          <c:y val="3.5402708617809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154059470072674E-2"/>
          <c:y val="8.7417982409519701E-2"/>
          <c:w val="0.85796847694809353"/>
          <c:h val="0.7749889207774262"/>
        </c:manualLayout>
      </c:layout>
      <c:scatterChart>
        <c:scatterStyle val="lineMarker"/>
        <c:varyColors val="0"/>
        <c:ser>
          <c:idx val="1"/>
          <c:order val="1"/>
          <c:tx>
            <c:v>  dolna krzywa graniczna</c:v>
          </c:tx>
          <c:spPr>
            <a:ln w="317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Wykres!$AD$19:$AD$32</c:f>
              <c:numCache>
                <c:formatCode>General</c:formatCode>
                <c:ptCount val="14"/>
                <c:pt idx="0">
                  <c:v>45</c:v>
                </c:pt>
                <c:pt idx="1">
                  <c:v>31.5</c:v>
                </c:pt>
                <c:pt idx="2">
                  <c:v>22.4</c:v>
                </c:pt>
                <c:pt idx="3">
                  <c:v>16</c:v>
                </c:pt>
                <c:pt idx="4">
                  <c:v>11.2</c:v>
                </c:pt>
                <c:pt idx="5">
                  <c:v>8</c:v>
                </c:pt>
                <c:pt idx="6">
                  <c:v>5.6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0.125</c:v>
                </c:pt>
                <c:pt idx="13">
                  <c:v>6.3E-2</c:v>
                </c:pt>
              </c:numCache>
            </c:numRef>
          </c:xVal>
          <c:yVal>
            <c:numRef>
              <c:f>Wykres!$AE$19:$AE$32</c:f>
              <c:numCache>
                <c:formatCode>0.00</c:formatCode>
                <c:ptCount val="14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90</c:v>
                </c:pt>
                <c:pt idx="6">
                  <c:v>35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7</c:v>
                </c:pt>
              </c:numCache>
            </c:numRef>
          </c:yVal>
          <c:smooth val="0"/>
        </c:ser>
        <c:ser>
          <c:idx val="2"/>
          <c:order val="2"/>
          <c:tx>
            <c:v>  górna krzywa graniczna</c:v>
          </c:tx>
          <c:spPr>
            <a:ln w="3175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Wykres!$AF$19:$AF$32</c:f>
              <c:numCache>
                <c:formatCode>General</c:formatCode>
                <c:ptCount val="14"/>
                <c:pt idx="0">
                  <c:v>45</c:v>
                </c:pt>
                <c:pt idx="1">
                  <c:v>31.5</c:v>
                </c:pt>
                <c:pt idx="2">
                  <c:v>22.4</c:v>
                </c:pt>
                <c:pt idx="3">
                  <c:v>16</c:v>
                </c:pt>
                <c:pt idx="4">
                  <c:v>11.2</c:v>
                </c:pt>
                <c:pt idx="5">
                  <c:v>8</c:v>
                </c:pt>
                <c:pt idx="6">
                  <c:v>5.6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0.125</c:v>
                </c:pt>
                <c:pt idx="13">
                  <c:v>6.3E-2</c:v>
                </c:pt>
              </c:numCache>
            </c:numRef>
          </c:xVal>
          <c:yVal>
            <c:numRef>
              <c:f>Wykres!$AG$19:$AG$32</c:f>
              <c:numCache>
                <c:formatCode>0.00</c:formatCode>
                <c:ptCount val="14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60</c:v>
                </c:pt>
                <c:pt idx="7">
                  <c:v>0</c:v>
                </c:pt>
                <c:pt idx="8">
                  <c:v>30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</c:v>
                </c:pt>
                <c:pt idx="13">
                  <c:v>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38088944"/>
        <c:axId val="-1438081328"/>
      </c:scatterChart>
      <c:scatterChart>
        <c:scatterStyle val="lineMarker"/>
        <c:varyColors val="0"/>
        <c:ser>
          <c:idx val="0"/>
          <c:order val="0"/>
          <c:tx>
            <c:v>  projektowane uziarnienie MM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Wykres!$AD$4:$AD$17</c:f>
              <c:numCache>
                <c:formatCode>General</c:formatCode>
                <c:ptCount val="14"/>
                <c:pt idx="0">
                  <c:v>45</c:v>
                </c:pt>
                <c:pt idx="1">
                  <c:v>31.5</c:v>
                </c:pt>
                <c:pt idx="2">
                  <c:v>22.4</c:v>
                </c:pt>
                <c:pt idx="3">
                  <c:v>16</c:v>
                </c:pt>
                <c:pt idx="4">
                  <c:v>11.2</c:v>
                </c:pt>
                <c:pt idx="5">
                  <c:v>8</c:v>
                </c:pt>
                <c:pt idx="6">
                  <c:v>5.6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0.5</c:v>
                </c:pt>
                <c:pt idx="11">
                  <c:v>0.25</c:v>
                </c:pt>
                <c:pt idx="12">
                  <c:v>0.125</c:v>
                </c:pt>
                <c:pt idx="13">
                  <c:v>6.3E-2</c:v>
                </c:pt>
              </c:numCache>
            </c:numRef>
          </c:xVal>
          <c:yVal>
            <c:numRef>
              <c:f>Wykres!$AE$4:$AE$17</c:f>
              <c:numCache>
                <c:formatCode>0.00</c:formatCode>
                <c:ptCount val="14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6.2000000000000028</c:v>
                </c:pt>
                <c:pt idx="6">
                  <c:v>48.2</c:v>
                </c:pt>
                <c:pt idx="7">
                  <c:v>67.7</c:v>
                </c:pt>
                <c:pt idx="8">
                  <c:v>73.8</c:v>
                </c:pt>
                <c:pt idx="9">
                  <c:v>79.400000000000006</c:v>
                </c:pt>
                <c:pt idx="10">
                  <c:v>83.5</c:v>
                </c:pt>
                <c:pt idx="11">
                  <c:v>86.9</c:v>
                </c:pt>
                <c:pt idx="12">
                  <c:v>89.4</c:v>
                </c:pt>
                <c:pt idx="13">
                  <c:v>91.9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38081872"/>
        <c:axId val="-1438079696"/>
      </c:scatterChart>
      <c:valAx>
        <c:axId val="-1438088944"/>
        <c:scaling>
          <c:logBase val="10"/>
          <c:orientation val="minMax"/>
          <c:max val="100"/>
          <c:min val="0.01"/>
        </c:scaling>
        <c:delete val="1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" panose="020B0604020202020204" pitchFamily="34" charset="0"/>
                  </a:defRPr>
                </a:pPr>
                <a:r>
                  <a:rPr lang="pl-PL" sz="1600">
                    <a:latin typeface="Arial" panose="020B0604020202020204" pitchFamily="34" charset="0"/>
                    <a:cs typeface="Arial" panose="020B0604020202020204" pitchFamily="34" charset="0"/>
                  </a:rPr>
                  <a:t>sito # mm</a:t>
                </a:r>
              </a:p>
            </c:rich>
          </c:tx>
          <c:layout>
            <c:manualLayout>
              <c:xMode val="edge"/>
              <c:yMode val="edge"/>
              <c:x val="0.51477190993799293"/>
              <c:y val="0.910205040569305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-1438081328"/>
        <c:crossesAt val="0.01"/>
        <c:crossBetween val="midCat"/>
        <c:majorUnit val="10"/>
        <c:minorUnit val="10"/>
      </c:valAx>
      <c:valAx>
        <c:axId val="-143808132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 sz="1600">
                    <a:latin typeface="Arial" panose="020B0604020202020204" pitchFamily="34" charset="0"/>
                    <a:cs typeface="Arial" panose="020B0604020202020204" pitchFamily="34" charset="0"/>
                  </a:rPr>
                  <a:t>Przechodzi</a:t>
                </a:r>
                <a:r>
                  <a:rPr lang="pl-PL" sz="16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przez sito , </a:t>
                </a:r>
                <a:r>
                  <a:rPr lang="pl-PL" sz="1600">
                    <a:latin typeface="Arial" panose="020B0604020202020204" pitchFamily="34" charset="0"/>
                    <a:cs typeface="Arial" panose="020B0604020202020204" pitchFamily="34" charset="0"/>
                  </a:rPr>
                  <a:t>% m/m</a:t>
                </a:r>
              </a:p>
            </c:rich>
          </c:tx>
          <c:layout>
            <c:manualLayout>
              <c:xMode val="edge"/>
              <c:yMode val="edge"/>
              <c:x val="7.890141624327808E-3"/>
              <c:y val="0.316517008582649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endParaRPr lang="pl-PL"/>
          </a:p>
        </c:txPr>
        <c:crossAx val="-1438088944"/>
        <c:crossesAt val="0.01"/>
        <c:crossBetween val="midCat"/>
        <c:majorUnit val="10"/>
        <c:minorUnit val="5"/>
      </c:valAx>
      <c:valAx>
        <c:axId val="-1438081872"/>
        <c:scaling>
          <c:logBase val="10"/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-1438079696"/>
        <c:crosses val="autoZero"/>
        <c:crossBetween val="midCat"/>
      </c:valAx>
      <c:valAx>
        <c:axId val="-1438079696"/>
        <c:scaling>
          <c:orientation val="maxMin"/>
          <c:max val="1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pl-PL" sz="16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Pozostaje na sicie , % m/m</a:t>
                </a:r>
                <a:endParaRPr lang="pl-PL" sz="16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6610968294772925"/>
              <c:y val="0.32728345093934907"/>
            </c:manualLayout>
          </c:layout>
          <c:overlay val="0"/>
        </c:title>
        <c:numFmt formatCode="0.00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endParaRPr lang="pl-PL"/>
          </a:p>
        </c:txPr>
        <c:crossAx val="-1438081872"/>
        <c:crosses val="max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17588675451559"/>
          <c:y val="0.94930125946094746"/>
          <c:w val="0.66498552719470483"/>
          <c:h val="4.43695472645358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Arial CE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span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/>
    <c:pageMargins b="0.98425196850393704" l="0.98425196850393704" r="0.98425196850393704" t="0.98425196850393704" header="0.31889763779527569" footer="0.3937007874015748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12168" y="203337"/>
    <xdr:ext cx="14820900" cy="917257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0.54912</cdr:x>
      <cdr:y>0.87886</cdr:y>
    </cdr:from>
    <cdr:to>
      <cdr:x>0.56418</cdr:x>
      <cdr:y>0.90017</cdr:y>
    </cdr:to>
    <cdr:sp macro="" textlink="">
      <cdr:nvSpPr>
        <cdr:cNvPr id="1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8379" y="8061417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2,0</a:t>
          </a:r>
        </a:p>
      </cdr:txBody>
    </cdr:sp>
  </cdr:relSizeAnchor>
  <cdr:relSizeAnchor xmlns:cdr="http://schemas.openxmlformats.org/drawingml/2006/chartDrawing">
    <cdr:from>
      <cdr:x>0.22181</cdr:x>
      <cdr:y>0.88013</cdr:y>
    </cdr:from>
    <cdr:to>
      <cdr:x>0.24842</cdr:x>
      <cdr:y>0.90144</cdr:y>
    </cdr:to>
    <cdr:sp macro="" textlink="">
      <cdr:nvSpPr>
        <cdr:cNvPr id="10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448" y="8073042"/>
          <a:ext cx="3944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0,063</a:t>
          </a:r>
          <a:endParaRPr lang="pl-PL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0.41939</cdr:x>
      <cdr:y>0.87976</cdr:y>
    </cdr:from>
    <cdr:to>
      <cdr:x>0.43445</cdr:x>
      <cdr:y>0.90108</cdr:y>
    </cdr:to>
    <cdr:sp macro="" textlink="">
      <cdr:nvSpPr>
        <cdr:cNvPr id="103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15776" y="8069708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0,5</a:t>
          </a:r>
        </a:p>
      </cdr:txBody>
    </cdr:sp>
  </cdr:relSizeAnchor>
  <cdr:relSizeAnchor xmlns:cdr="http://schemas.openxmlformats.org/drawingml/2006/chartDrawing">
    <cdr:from>
      <cdr:x>0.61306</cdr:x>
      <cdr:y>0.88017</cdr:y>
    </cdr:from>
    <cdr:to>
      <cdr:x>0.62812</cdr:x>
      <cdr:y>0.90148</cdr:y>
    </cdr:to>
    <cdr:sp macro="" textlink="">
      <cdr:nvSpPr>
        <cdr:cNvPr id="10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86174" y="8073413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4,0</a:t>
          </a:r>
        </a:p>
      </cdr:txBody>
    </cdr:sp>
  </cdr:relSizeAnchor>
  <cdr:relSizeAnchor xmlns:cdr="http://schemas.openxmlformats.org/drawingml/2006/chartDrawing">
    <cdr:from>
      <cdr:x>0.34946</cdr:x>
      <cdr:y>0.87976</cdr:y>
    </cdr:from>
    <cdr:to>
      <cdr:x>0.3703</cdr:x>
      <cdr:y>0.90108</cdr:y>
    </cdr:to>
    <cdr:sp macro="" textlink="">
      <cdr:nvSpPr>
        <cdr:cNvPr id="104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9324" y="8069708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0,25</a:t>
          </a:r>
        </a:p>
      </cdr:txBody>
    </cdr:sp>
  </cdr:relSizeAnchor>
  <cdr:relSizeAnchor xmlns:cdr="http://schemas.openxmlformats.org/drawingml/2006/chartDrawing">
    <cdr:from>
      <cdr:x>0.28095</cdr:x>
      <cdr:y>0.87955</cdr:y>
    </cdr:from>
    <cdr:to>
      <cdr:x>0.30756</cdr:x>
      <cdr:y>0.90087</cdr:y>
    </cdr:to>
    <cdr:sp macro="" textlink="">
      <cdr:nvSpPr>
        <cdr:cNvPr id="10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63928" y="8067749"/>
          <a:ext cx="3944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0,125</a:t>
          </a:r>
        </a:p>
      </cdr:txBody>
    </cdr:sp>
  </cdr:relSizeAnchor>
  <cdr:relSizeAnchor xmlns:cdr="http://schemas.openxmlformats.org/drawingml/2006/chartDrawing">
    <cdr:from>
      <cdr:x>0.74283</cdr:x>
      <cdr:y>0.87971</cdr:y>
    </cdr:from>
    <cdr:to>
      <cdr:x>0.76367</cdr:x>
      <cdr:y>0.90102</cdr:y>
    </cdr:to>
    <cdr:sp macro="" textlink="">
      <cdr:nvSpPr>
        <cdr:cNvPr id="1044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09433" y="8069177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16,0</a:t>
          </a:r>
        </a:p>
      </cdr:txBody>
    </cdr:sp>
  </cdr:relSizeAnchor>
  <cdr:relSizeAnchor xmlns:cdr="http://schemas.openxmlformats.org/drawingml/2006/chartDrawing">
    <cdr:from>
      <cdr:x>0.70652</cdr:x>
      <cdr:y>0.87886</cdr:y>
    </cdr:from>
    <cdr:to>
      <cdr:x>0.72736</cdr:x>
      <cdr:y>0.90017</cdr:y>
    </cdr:to>
    <cdr:sp macro="" textlink="">
      <cdr:nvSpPr>
        <cdr:cNvPr id="104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71261" y="8061417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11,2</a:t>
          </a:r>
        </a:p>
      </cdr:txBody>
    </cdr:sp>
  </cdr:relSizeAnchor>
  <cdr:relSizeAnchor xmlns:cdr="http://schemas.openxmlformats.org/drawingml/2006/chartDrawing">
    <cdr:from>
      <cdr:x>0.67831</cdr:x>
      <cdr:y>0.88016</cdr:y>
    </cdr:from>
    <cdr:to>
      <cdr:x>0.69337</cdr:x>
      <cdr:y>0.90147</cdr:y>
    </cdr:to>
    <cdr:sp macro="" textlink="">
      <cdr:nvSpPr>
        <cdr:cNvPr id="1046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53095" y="8073323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8,0</a:t>
          </a:r>
        </a:p>
      </cdr:txBody>
    </cdr:sp>
  </cdr:relSizeAnchor>
  <cdr:relSizeAnchor xmlns:cdr="http://schemas.openxmlformats.org/drawingml/2006/chartDrawing">
    <cdr:from>
      <cdr:x>0.64589</cdr:x>
      <cdr:y>0.88016</cdr:y>
    </cdr:from>
    <cdr:to>
      <cdr:x>0.66095</cdr:x>
      <cdr:y>0.90147</cdr:y>
    </cdr:to>
    <cdr:sp macro="" textlink="">
      <cdr:nvSpPr>
        <cdr:cNvPr id="104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2673" y="8073323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5,6</a:t>
          </a:r>
        </a:p>
      </cdr:txBody>
    </cdr:sp>
  </cdr:relSizeAnchor>
  <cdr:relSizeAnchor xmlns:cdr="http://schemas.openxmlformats.org/drawingml/2006/chartDrawing">
    <cdr:from>
      <cdr:x>0.8056</cdr:x>
      <cdr:y>0.87912</cdr:y>
    </cdr:from>
    <cdr:to>
      <cdr:x>0.82643</cdr:x>
      <cdr:y>0.90043</cdr:y>
    </cdr:to>
    <cdr:sp macro="" textlink="">
      <cdr:nvSpPr>
        <cdr:cNvPr id="1048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39691" y="8063755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31,5</a:t>
          </a:r>
        </a:p>
      </cdr:txBody>
    </cdr:sp>
  </cdr:relSizeAnchor>
  <cdr:relSizeAnchor xmlns:cdr="http://schemas.openxmlformats.org/drawingml/2006/chartDrawing">
    <cdr:from>
      <cdr:x>0.83751</cdr:x>
      <cdr:y>0.87971</cdr:y>
    </cdr:from>
    <cdr:to>
      <cdr:x>0.85835</cdr:x>
      <cdr:y>0.90102</cdr:y>
    </cdr:to>
    <cdr:sp macro="" textlink="">
      <cdr:nvSpPr>
        <cdr:cNvPr id="1049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12684" y="8069177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45,0</a:t>
          </a:r>
        </a:p>
      </cdr:txBody>
    </cdr:sp>
  </cdr:relSizeAnchor>
  <cdr:relSizeAnchor xmlns:cdr="http://schemas.openxmlformats.org/drawingml/2006/chartDrawing">
    <cdr:from>
      <cdr:x>0.76974</cdr:x>
      <cdr:y>0.87906</cdr:y>
    </cdr:from>
    <cdr:to>
      <cdr:x>0.79058</cdr:x>
      <cdr:y>0.90037</cdr:y>
    </cdr:to>
    <cdr:sp macro="" textlink="">
      <cdr:nvSpPr>
        <cdr:cNvPr id="1050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08265" y="8063224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22,4</a:t>
          </a:r>
        </a:p>
      </cdr:txBody>
    </cdr:sp>
  </cdr:relSizeAnchor>
  <cdr:relSizeAnchor xmlns:cdr="http://schemas.openxmlformats.org/drawingml/2006/chartDrawing">
    <cdr:from>
      <cdr:x>0.48423</cdr:x>
      <cdr:y>0.87911</cdr:y>
    </cdr:from>
    <cdr:to>
      <cdr:x>0.49929</cdr:x>
      <cdr:y>0.90042</cdr:y>
    </cdr:to>
    <cdr:sp macro="" textlink="">
      <cdr:nvSpPr>
        <cdr:cNvPr id="86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6690" y="8063706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1,0</a:t>
          </a:r>
        </a:p>
      </cdr:txBody>
    </cdr:sp>
  </cdr:relSizeAnchor>
  <cdr:relSizeAnchor xmlns:cdr="http://schemas.openxmlformats.org/drawingml/2006/chartDrawing">
    <cdr:from>
      <cdr:x>0.06586</cdr:x>
      <cdr:y>0.08832</cdr:y>
    </cdr:from>
    <cdr:to>
      <cdr:x>0.22891</cdr:x>
      <cdr:y>0.86049</cdr:y>
    </cdr:to>
    <cdr:sp macro="" textlink="">
      <cdr:nvSpPr>
        <cdr:cNvPr id="1034" name="Prostokąt 1033"/>
        <cdr:cNvSpPr/>
      </cdr:nvSpPr>
      <cdr:spPr>
        <a:xfrm xmlns:a="http://schemas.openxmlformats.org/drawingml/2006/main">
          <a:off x="976125" y="810123"/>
          <a:ext cx="2416537" cy="7082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0.83679</cdr:x>
      <cdr:y>0.08879</cdr:y>
    </cdr:from>
    <cdr:to>
      <cdr:x>0.91867</cdr:x>
      <cdr:y>0.85988</cdr:y>
    </cdr:to>
    <cdr:sp macro="" textlink="">
      <cdr:nvSpPr>
        <cdr:cNvPr id="90" name="Prostokąt 89"/>
        <cdr:cNvSpPr/>
      </cdr:nvSpPr>
      <cdr:spPr>
        <a:xfrm xmlns:a="http://schemas.openxmlformats.org/drawingml/2006/main">
          <a:off x="12401990" y="814477"/>
          <a:ext cx="1213471" cy="707283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l-PL"/>
        </a:p>
      </cdr:txBody>
    </cdr:sp>
  </cdr:relSizeAnchor>
</c:userShapes>
</file>

<file path=xl/tables/table1.xml><?xml version="1.0" encoding="utf-8"?>
<table xmlns="http://schemas.openxmlformats.org/spreadsheetml/2006/main" id="4" name="Tabela4" displayName="Tabela4" ref="C2:C20" totalsRowShown="0" headerRowDxfId="73" dataDxfId="72">
  <autoFilter ref="C2:C20"/>
  <tableColumns count="1">
    <tableColumn id="1" name="1" dataDxfId="7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4" name="Tabela14" displayName="Tabela14" ref="L2:L20" totalsRowShown="0" headerRowDxfId="46" dataDxfId="45">
  <autoFilter ref="L2:L20"/>
  <tableColumns count="1">
    <tableColumn id="1" name="10" dataDxfId="4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5" name="Tabela15" displayName="Tabela15" ref="M2:M20" totalsRowShown="0" headerRowDxfId="43" dataDxfId="42">
  <autoFilter ref="M2:M20"/>
  <tableColumns count="1">
    <tableColumn id="1" name="11" dataDxfId="4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6" name="Tabela16" displayName="Tabela16" ref="N2:N20" totalsRowShown="0" headerRowDxfId="40" dataDxfId="39">
  <autoFilter ref="N2:N20"/>
  <tableColumns count="1">
    <tableColumn id="1" name="12" dataDxfId="3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7" name="Tabela17" displayName="Tabela17" ref="O2:O20" totalsRowShown="0" headerRowDxfId="37" dataDxfId="36">
  <autoFilter ref="O2:O20"/>
  <tableColumns count="1">
    <tableColumn id="1" name="13" dataDxfId="3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8" name="Tabela18" displayName="Tabela18" ref="P2:P20" totalsRowShown="0" headerRowDxfId="34" dataDxfId="33">
  <autoFilter ref="P2:P20"/>
  <tableColumns count="1">
    <tableColumn id="1" name="14" dataDxfId="32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9" name="Tabela19" displayName="Tabela19" ref="Q2:Q20" totalsRowShown="0" headerRowDxfId="31" dataDxfId="30">
  <autoFilter ref="Q2:Q20"/>
  <tableColumns count="1">
    <tableColumn id="1" name="15" dataDxfId="2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20" name="Tabela20" displayName="Tabela20" ref="R2:R20" totalsRowShown="0" headerRowDxfId="28" dataDxfId="27">
  <autoFilter ref="R2:R20"/>
  <tableColumns count="1">
    <tableColumn id="1" name="16" dataDxfId="26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4" name="Tabela24" displayName="Tabela24" ref="S2:T20" totalsRowShown="0" headerRowDxfId="25" dataDxfId="24">
  <autoFilter ref="S2:T20"/>
  <tableColumns count="2">
    <tableColumn id="1" name="17" dataDxfId="23"/>
    <tableColumn id="2" name="puste" dataDxfId="22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5" name="Tabela25" displayName="Tabela25" ref="C2:C30" totalsRowShown="0" headerRowDxfId="21">
  <autoFilter ref="C2:C30"/>
  <tableColumns count="1">
    <tableColumn id="1" name="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6" name="Tabela26" displayName="Tabela26" ref="D2:D30" totalsRowShown="0" headerRowDxfId="20">
  <autoFilter ref="D2:D30"/>
  <tableColumns count="1">
    <tableColumn id="1" name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ela6" displayName="Tabela6" ref="D2:D20" totalsRowShown="0" headerRowDxfId="70" dataDxfId="69">
  <autoFilter ref="D2:D20"/>
  <tableColumns count="1">
    <tableColumn id="1" name="2" dataDxfId="68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7" name="Tabela27" displayName="Tabela27" ref="E2:E30" totalsRowShown="0" headerRowDxfId="19">
  <autoFilter ref="E2:E30"/>
  <tableColumns count="1">
    <tableColumn id="1" name="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8" name="Tabela28" displayName="Tabela28" ref="F2:F30" totalsRowShown="0" headerRowDxfId="18">
  <autoFilter ref="F2:F30"/>
  <tableColumns count="1">
    <tableColumn id="1" name="4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9" name="Tabela29" displayName="Tabela29" ref="G2:G30" totalsRowShown="0" headerRowDxfId="17">
  <autoFilter ref="G2:G30"/>
  <tableColumns count="1">
    <tableColumn id="1" name="5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30" name="Tabela30" displayName="Tabela30" ref="H2:H30" totalsRowShown="0" headerRowDxfId="16">
  <autoFilter ref="H2:H30"/>
  <tableColumns count="1">
    <tableColumn id="1" name="6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31" name="Tabela31" displayName="Tabela31" ref="I2:I30" totalsRowShown="0" headerRowDxfId="15">
  <autoFilter ref="I2:I30"/>
  <tableColumns count="1">
    <tableColumn id="1" name="7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32" name="Tabela32" displayName="Tabela32" ref="J2:J30" totalsRowShown="0" headerRowDxfId="14">
  <autoFilter ref="J2:J30"/>
  <tableColumns count="1">
    <tableColumn id="1" name="8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33" name="Tabela33" displayName="Tabela33" ref="K2:K30" totalsRowShown="0" headerRowDxfId="13">
  <autoFilter ref="K2:K30"/>
  <tableColumns count="1">
    <tableColumn id="1" name="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34" name="Tabela34" displayName="Tabela34" ref="L2:L30" totalsRowShown="0" headerRowDxfId="12">
  <autoFilter ref="L2:L30"/>
  <tableColumns count="1">
    <tableColumn id="1" name="10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35" name="Tabela35" displayName="Tabela35" ref="M2:M30" totalsRowShown="0" headerRowDxfId="11">
  <autoFilter ref="M2:M30"/>
  <tableColumns count="1">
    <tableColumn id="1" name="1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36" name="Tabela36" displayName="Tabela36" ref="N2:N30" totalsRowShown="0" headerRowDxfId="10">
  <autoFilter ref="N2:N30"/>
  <tableColumns count="1">
    <tableColumn id="1" name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ela7" displayName="Tabela7" ref="E2:E20" totalsRowShown="0" headerRowDxfId="67" dataDxfId="66">
  <autoFilter ref="E2:E20"/>
  <tableColumns count="1">
    <tableColumn id="1" name="3" dataDxfId="65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7" name="Tabela37" displayName="Tabela37" ref="O2:O30" totalsRowShown="0" headerRowDxfId="9">
  <autoFilter ref="O2:O30"/>
  <tableColumns count="1">
    <tableColumn id="1" name="13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8" name="Tabela38" displayName="Tabela38" ref="P2:P30" totalsRowShown="0" headerRowDxfId="8">
  <autoFilter ref="P2:P30"/>
  <tableColumns count="1">
    <tableColumn id="1" name="14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9" name="Tabela39" displayName="Tabela39" ref="Q2:Q30" totalsRowShown="0" headerRowDxfId="7">
  <autoFilter ref="Q2:Q30"/>
  <tableColumns count="1">
    <tableColumn id="1" name="15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40" name="Tabela40" displayName="Tabela40" ref="R2:R30" totalsRowShown="0" headerRowDxfId="6">
  <autoFilter ref="R2:R30"/>
  <tableColumns count="1">
    <tableColumn id="1" name="16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41" name="Tabela41" displayName="Tabela41" ref="S2:S30" totalsRowShown="0" headerRowDxfId="5">
  <autoFilter ref="S2:S30"/>
  <tableColumns count="1">
    <tableColumn id="1" name="17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42" name="Tabela42" displayName="Tabela42" ref="T2:T30" totalsRowShown="0" headerRowDxfId="4">
  <autoFilter ref="T2:T30"/>
  <tableColumns count="1">
    <tableColumn id="1" name="1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43" name="Tabela43" displayName="Tabela43" ref="U2:U30" totalsRowShown="0" headerRowDxfId="3">
  <autoFilter ref="U2:U30"/>
  <tableColumns count="1">
    <tableColumn id="1" name="19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44" name="Tabela44" displayName="Tabela44" ref="V2:V30" totalsRowShown="0" headerRowDxfId="2">
  <autoFilter ref="V2:V30"/>
  <tableColumns count="1">
    <tableColumn id="1" name="20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45" name="Tabela45" displayName="Tabela45" ref="W2:W30" totalsRowShown="0" headerRowDxfId="1">
  <autoFilter ref="W2:W30"/>
  <tableColumns count="1">
    <tableColumn id="1" name="21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46" name="Tabela46" displayName="Tabela46" ref="X2:X30" totalsRowShown="0" headerRowDxfId="0">
  <autoFilter ref="X2:X30"/>
  <tableColumns count="1">
    <tableColumn id="1" name="2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Tabela8" displayName="Tabela8" ref="F2:F20" totalsRowShown="0" headerRowDxfId="64" dataDxfId="63">
  <autoFilter ref="F2:F20"/>
  <tableColumns count="1">
    <tableColumn id="1" name="4" dataDxfId="6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9" name="Tabela9" displayName="Tabela9" ref="G2:G20" totalsRowShown="0" headerRowDxfId="61" dataDxfId="60">
  <autoFilter ref="G2:G20"/>
  <tableColumns count="1">
    <tableColumn id="1" name="5" dataDxfId="5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0" name="Tabela10" displayName="Tabela10" ref="H2:H20" totalsRowShown="0" headerRowDxfId="58" dataDxfId="57">
  <autoFilter ref="H2:H20"/>
  <tableColumns count="1">
    <tableColumn id="1" name="6" dataDxfId="5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ela11" displayName="Tabela11" ref="I2:I20" totalsRowShown="0" headerRowDxfId="55" dataDxfId="54">
  <autoFilter ref="I2:I20"/>
  <tableColumns count="1">
    <tableColumn id="1" name="7" dataDxfId="5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2" name="Tabela12" displayName="Tabela12" ref="J2:J20" totalsRowShown="0" headerRowDxfId="52" dataDxfId="51">
  <autoFilter ref="J2:J20"/>
  <tableColumns count="1">
    <tableColumn id="1" name="8" dataDxfId="5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3" name="Tabela13" displayName="Tabela13" ref="K2:K20" totalsRowShown="0" headerRowDxfId="49" dataDxfId="48">
  <autoFilter ref="K2:K20"/>
  <tableColumns count="1">
    <tableColumn id="1" name="9" dataDxfId="4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5.xml"/><Relationship Id="rId13" Type="http://schemas.openxmlformats.org/officeDocument/2006/relationships/table" Target="../tables/table30.xml"/><Relationship Id="rId18" Type="http://schemas.openxmlformats.org/officeDocument/2006/relationships/table" Target="../tables/table35.xml"/><Relationship Id="rId3" Type="http://schemas.openxmlformats.org/officeDocument/2006/relationships/table" Target="../tables/table20.xml"/><Relationship Id="rId21" Type="http://schemas.openxmlformats.org/officeDocument/2006/relationships/table" Target="../tables/table38.xml"/><Relationship Id="rId7" Type="http://schemas.openxmlformats.org/officeDocument/2006/relationships/table" Target="../tables/table24.xml"/><Relationship Id="rId12" Type="http://schemas.openxmlformats.org/officeDocument/2006/relationships/table" Target="../tables/table29.xml"/><Relationship Id="rId17" Type="http://schemas.openxmlformats.org/officeDocument/2006/relationships/table" Target="../tables/table34.xml"/><Relationship Id="rId2" Type="http://schemas.openxmlformats.org/officeDocument/2006/relationships/table" Target="../tables/table19.xml"/><Relationship Id="rId16" Type="http://schemas.openxmlformats.org/officeDocument/2006/relationships/table" Target="../tables/table33.xml"/><Relationship Id="rId20" Type="http://schemas.openxmlformats.org/officeDocument/2006/relationships/table" Target="../tables/table37.xml"/><Relationship Id="rId1" Type="http://schemas.openxmlformats.org/officeDocument/2006/relationships/table" Target="../tables/table18.xml"/><Relationship Id="rId6" Type="http://schemas.openxmlformats.org/officeDocument/2006/relationships/table" Target="../tables/table23.xml"/><Relationship Id="rId11" Type="http://schemas.openxmlformats.org/officeDocument/2006/relationships/table" Target="../tables/table28.xml"/><Relationship Id="rId5" Type="http://schemas.openxmlformats.org/officeDocument/2006/relationships/table" Target="../tables/table22.xml"/><Relationship Id="rId15" Type="http://schemas.openxmlformats.org/officeDocument/2006/relationships/table" Target="../tables/table32.xml"/><Relationship Id="rId10" Type="http://schemas.openxmlformats.org/officeDocument/2006/relationships/table" Target="../tables/table27.xml"/><Relationship Id="rId19" Type="http://schemas.openxmlformats.org/officeDocument/2006/relationships/table" Target="../tables/table36.xml"/><Relationship Id="rId4" Type="http://schemas.openxmlformats.org/officeDocument/2006/relationships/table" Target="../tables/table21.xml"/><Relationship Id="rId9" Type="http://schemas.openxmlformats.org/officeDocument/2006/relationships/table" Target="../tables/table26.xml"/><Relationship Id="rId14" Type="http://schemas.openxmlformats.org/officeDocument/2006/relationships/table" Target="../tables/table31.xml"/><Relationship Id="rId22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/>
  </sheetViews>
  <sheetFormatPr defaultRowHeight="15" x14ac:dyDescent="0.25"/>
  <cols>
    <col min="2" max="2" width="20.7109375" customWidth="1"/>
    <col min="3" max="9" width="30.7109375" customWidth="1"/>
    <col min="10" max="10" width="10.7109375" customWidth="1"/>
    <col min="11" max="14" width="12.7109375" customWidth="1"/>
  </cols>
  <sheetData>
    <row r="1" spans="1:10" x14ac:dyDescent="0.25">
      <c r="A1" s="30"/>
      <c r="B1" s="30"/>
      <c r="C1" s="31" t="s">
        <v>14</v>
      </c>
      <c r="D1" s="31" t="s">
        <v>15</v>
      </c>
      <c r="E1" s="31" t="s">
        <v>16</v>
      </c>
      <c r="F1" s="31" t="s">
        <v>17</v>
      </c>
      <c r="G1" s="31" t="s">
        <v>18</v>
      </c>
      <c r="H1" s="31" t="s">
        <v>19</v>
      </c>
      <c r="I1" s="31" t="s">
        <v>20</v>
      </c>
      <c r="J1" s="30"/>
    </row>
    <row r="2" spans="1:10" ht="15" customHeight="1" x14ac:dyDescent="0.25">
      <c r="A2" s="30"/>
      <c r="B2" s="30"/>
      <c r="C2" s="29" t="s">
        <v>21</v>
      </c>
      <c r="D2" s="29" t="s">
        <v>24</v>
      </c>
      <c r="E2" s="29" t="s">
        <v>27</v>
      </c>
      <c r="F2" s="29" t="s">
        <v>30</v>
      </c>
      <c r="G2" s="29" t="s">
        <v>43</v>
      </c>
      <c r="H2" s="29" t="s">
        <v>43</v>
      </c>
      <c r="I2" s="29" t="s">
        <v>43</v>
      </c>
      <c r="J2" s="30"/>
    </row>
    <row r="3" spans="1:10" ht="15" customHeight="1" x14ac:dyDescent="0.25">
      <c r="A3" s="30"/>
      <c r="B3" s="32" t="s">
        <v>45</v>
      </c>
      <c r="C3" s="33" t="str">
        <f>HLOOKUP($C$2,'Baza kruszyw'!$C$2:$T$20,2,FALSE)</f>
        <v>mączka wapienna nr 1</v>
      </c>
      <c r="D3" s="33" t="str">
        <f>HLOOKUP($D$2,'Baza kruszyw'!$C$2:$T$20,2,FALSE)</f>
        <v>piasek naturalny kopalniany 0/2</v>
      </c>
      <c r="E3" s="33" t="str">
        <f>HLOOKUP($E$2,'Baza kruszyw'!$C$2:$T$20,2,FALSE)</f>
        <v>grys gabro 2/5</v>
      </c>
      <c r="F3" s="33" t="str">
        <f>HLOOKUP($F$2,'Baza kruszyw'!$C$2:$T$20,2,FALSE)</f>
        <v>grys melafirowy 5/8</v>
      </c>
      <c r="G3" s="33" t="str">
        <f>HLOOKUP($G$2,'Baza kruszyw'!$C$2:$T$20,2,FALSE)</f>
        <v>-</v>
      </c>
      <c r="H3" s="33" t="str">
        <f>HLOOKUP($H$2,'Baza kruszyw'!$C$2:$T$20,2,FALSE)</f>
        <v>-</v>
      </c>
      <c r="I3" s="33" t="str">
        <f>HLOOKUP($I$2,'Baza kruszyw'!$C$2:$T$20,2,FALSE)</f>
        <v>-</v>
      </c>
      <c r="J3" s="30"/>
    </row>
    <row r="4" spans="1:10" x14ac:dyDescent="0.25">
      <c r="A4" s="30"/>
      <c r="B4" s="34">
        <v>45</v>
      </c>
      <c r="C4" s="35">
        <f>HLOOKUP($C$2,'Baza kruszyw'!$C$2:$T$20,3,FALSE)</f>
        <v>0</v>
      </c>
      <c r="D4" s="35">
        <f>HLOOKUP($D$2,'Baza kruszyw'!$C$2:$T$20,3,FALSE)</f>
        <v>0</v>
      </c>
      <c r="E4" s="35">
        <f>HLOOKUP($E$2,'Baza kruszyw'!$C$2:$T$20,3,FALSE)</f>
        <v>0</v>
      </c>
      <c r="F4" s="35">
        <f>HLOOKUP($F$2,'Baza kruszyw'!$C$2:$T$20,3,FALSE)</f>
        <v>0</v>
      </c>
      <c r="G4" s="35">
        <f>HLOOKUP($G$2,'Baza kruszyw'!$C$2:$T$20,3,FALSE)</f>
        <v>0</v>
      </c>
      <c r="H4" s="35">
        <f>HLOOKUP($H$2,'Baza kruszyw'!$C$2:$T$20,3,FALSE)</f>
        <v>0</v>
      </c>
      <c r="I4" s="35">
        <f>HLOOKUP($I$2,'Baza kruszyw'!$C$2:$T$20,3,FALSE)</f>
        <v>0</v>
      </c>
      <c r="J4" s="30"/>
    </row>
    <row r="5" spans="1:10" x14ac:dyDescent="0.25">
      <c r="A5" s="30"/>
      <c r="B5" s="34">
        <v>31.5</v>
      </c>
      <c r="C5" s="35">
        <f>HLOOKUP($C$2,'Baza kruszyw'!$C$2:$T$20,4,FALSE)</f>
        <v>0</v>
      </c>
      <c r="D5" s="35">
        <f>HLOOKUP($D$2,'Baza kruszyw'!$C$2:$T$20,4,FALSE)</f>
        <v>0</v>
      </c>
      <c r="E5" s="35">
        <f>HLOOKUP($E$2,'Baza kruszyw'!$C$2:$T$20,4,FALSE)</f>
        <v>0</v>
      </c>
      <c r="F5" s="35">
        <f>HLOOKUP($F$2,'Baza kruszyw'!$C$2:$T$20,4,FALSE)</f>
        <v>0</v>
      </c>
      <c r="G5" s="35">
        <f>HLOOKUP($G$2,'Baza kruszyw'!$C$2:$T$20,4,FALSE)</f>
        <v>0</v>
      </c>
      <c r="H5" s="35">
        <f>HLOOKUP($H$2,'Baza kruszyw'!$C$2:$T$20,4,FALSE)</f>
        <v>0</v>
      </c>
      <c r="I5" s="35">
        <f>HLOOKUP($I$2,'Baza kruszyw'!$C$2:$T$20,4,FALSE)</f>
        <v>0</v>
      </c>
      <c r="J5" s="30"/>
    </row>
    <row r="6" spans="1:10" x14ac:dyDescent="0.25">
      <c r="A6" s="30"/>
      <c r="B6" s="34">
        <v>22.4</v>
      </c>
      <c r="C6" s="35">
        <f>HLOOKUP($C$2,'Baza kruszyw'!$C$2:$T$20,5,FALSE)</f>
        <v>0</v>
      </c>
      <c r="D6" s="35">
        <f>HLOOKUP($D$2,'Baza kruszyw'!$C$2:$T$20,5,FALSE)</f>
        <v>0</v>
      </c>
      <c r="E6" s="35">
        <f>HLOOKUP($E$2,'Baza kruszyw'!$C$2:$T$20,5,FALSE)</f>
        <v>0</v>
      </c>
      <c r="F6" s="35">
        <f>HLOOKUP($F$2,'Baza kruszyw'!$C$2:$T$20,5,FALSE)</f>
        <v>0</v>
      </c>
      <c r="G6" s="35">
        <f>HLOOKUP($G$2,'Baza kruszyw'!$C$2:$T$20,5,FALSE)</f>
        <v>0</v>
      </c>
      <c r="H6" s="35">
        <f>HLOOKUP($H$2,'Baza kruszyw'!$C$2:$T$20,5,FALSE)</f>
        <v>0</v>
      </c>
      <c r="I6" s="35">
        <f>HLOOKUP($I$2,'Baza kruszyw'!$C$2:$T$20,5,FALSE)</f>
        <v>0</v>
      </c>
      <c r="J6" s="30"/>
    </row>
    <row r="7" spans="1:10" x14ac:dyDescent="0.25">
      <c r="A7" s="30"/>
      <c r="B7" s="34">
        <v>16</v>
      </c>
      <c r="C7" s="35">
        <f>HLOOKUP($C$2,'Baza kruszyw'!$C$2:$T$20,6,FALSE)</f>
        <v>0</v>
      </c>
      <c r="D7" s="35">
        <f>HLOOKUP($D$2,'Baza kruszyw'!$C$2:$T$20,6,FALSE)</f>
        <v>0</v>
      </c>
      <c r="E7" s="35">
        <f>HLOOKUP($E$2,'Baza kruszyw'!$C$2:$T$20,6,FALSE)</f>
        <v>0</v>
      </c>
      <c r="F7" s="35">
        <f>HLOOKUP($F$2,'Baza kruszyw'!$C$2:$T$20,6,FALSE)</f>
        <v>0</v>
      </c>
      <c r="G7" s="35">
        <f>HLOOKUP($G$2,'Baza kruszyw'!$C$2:$T$20,6,FALSE)</f>
        <v>0</v>
      </c>
      <c r="H7" s="35">
        <f>HLOOKUP($H$2,'Baza kruszyw'!$C$2:$T$20,6,FALSE)</f>
        <v>0</v>
      </c>
      <c r="I7" s="35">
        <f>HLOOKUP($I$2,'Baza kruszyw'!$C$2:$T$20,6,FALSE)</f>
        <v>0</v>
      </c>
      <c r="J7" s="30"/>
    </row>
    <row r="8" spans="1:10" x14ac:dyDescent="0.25">
      <c r="A8" s="30"/>
      <c r="B8" s="34">
        <v>11.2</v>
      </c>
      <c r="C8" s="35">
        <f>HLOOKUP($C$2,'Baza kruszyw'!$C$2:$T$20,7,FALSE)</f>
        <v>0</v>
      </c>
      <c r="D8" s="35">
        <f>HLOOKUP($D$2,'Baza kruszyw'!$C$2:$T$20,7,FALSE)</f>
        <v>0</v>
      </c>
      <c r="E8" s="35">
        <f>HLOOKUP($E$2,'Baza kruszyw'!$C$2:$T$20,7,FALSE)</f>
        <v>0</v>
      </c>
      <c r="F8" s="35">
        <f>HLOOKUP($F$2,'Baza kruszyw'!$C$2:$T$20,7,FALSE)</f>
        <v>0</v>
      </c>
      <c r="G8" s="35">
        <f>HLOOKUP($G$2,'Baza kruszyw'!$C$2:$T$20,7,FALSE)</f>
        <v>0</v>
      </c>
      <c r="H8" s="35">
        <f>HLOOKUP($H$2,'Baza kruszyw'!$C$2:$T$20,7,FALSE)</f>
        <v>0</v>
      </c>
      <c r="I8" s="35">
        <f>HLOOKUP($I$2,'Baza kruszyw'!$C$2:$T$20,7,FALSE)</f>
        <v>0</v>
      </c>
      <c r="J8" s="30"/>
    </row>
    <row r="9" spans="1:10" x14ac:dyDescent="0.25">
      <c r="A9" s="30"/>
      <c r="B9" s="34">
        <v>8</v>
      </c>
      <c r="C9" s="35">
        <f>HLOOKUP($C$2,'Baza kruszyw'!$C$2:$T$20,8,FALSE)</f>
        <v>0</v>
      </c>
      <c r="D9" s="35">
        <f>HLOOKUP($D$2,'Baza kruszyw'!$C$2:$T$20,8,FALSE)</f>
        <v>0</v>
      </c>
      <c r="E9" s="35">
        <f>HLOOKUP($E$2,'Baza kruszyw'!$C$2:$T$20,8,FALSE)</f>
        <v>0.3</v>
      </c>
      <c r="F9" s="35">
        <f>HLOOKUP($F$2,'Baza kruszyw'!$C$2:$T$20,8,FALSE)</f>
        <v>16.2</v>
      </c>
      <c r="G9" s="35">
        <f>HLOOKUP($G$2,'Baza kruszyw'!$C$2:$T$20,8,FALSE)</f>
        <v>0</v>
      </c>
      <c r="H9" s="35">
        <f>HLOOKUP($H$2,'Baza kruszyw'!$C$2:$T$20,8,FALSE)</f>
        <v>0</v>
      </c>
      <c r="I9" s="35">
        <f>HLOOKUP($I$2,'Baza kruszyw'!$C$2:$T$20,8,FALSE)</f>
        <v>0</v>
      </c>
      <c r="J9" s="30"/>
    </row>
    <row r="10" spans="1:10" x14ac:dyDescent="0.25">
      <c r="A10" s="30"/>
      <c r="B10" s="34">
        <v>5.6</v>
      </c>
      <c r="C10" s="35">
        <f>HLOOKUP($C$2,'Baza kruszyw'!$C$2:$T$20,9,FALSE)</f>
        <v>0</v>
      </c>
      <c r="D10" s="35">
        <f>HLOOKUP($D$2,'Baza kruszyw'!$C$2:$T$20,9,FALSE)</f>
        <v>0</v>
      </c>
      <c r="E10" s="35">
        <f>HLOOKUP($E$2,'Baza kruszyw'!$C$2:$T$20,9,FALSE)</f>
        <v>54</v>
      </c>
      <c r="F10" s="35">
        <f>HLOOKUP($F$2,'Baza kruszyw'!$C$2:$T$20,9,FALSE)</f>
        <v>65.2</v>
      </c>
      <c r="G10" s="35">
        <f>HLOOKUP($G$2,'Baza kruszyw'!$C$2:$T$20,9,FALSE)</f>
        <v>0</v>
      </c>
      <c r="H10" s="35">
        <f>HLOOKUP($H$2,'Baza kruszyw'!$C$2:$T$20,9,FALSE)</f>
        <v>0</v>
      </c>
      <c r="I10" s="35">
        <f>HLOOKUP($I$2,'Baza kruszyw'!$C$2:$T$20,9,FALSE)</f>
        <v>0</v>
      </c>
      <c r="J10" s="30"/>
    </row>
    <row r="11" spans="1:10" x14ac:dyDescent="0.25">
      <c r="A11" s="30"/>
      <c r="B11" s="34">
        <v>4</v>
      </c>
      <c r="C11" s="35">
        <f>HLOOKUP($C$2,'Baza kruszyw'!$C$2:$T$20,10,FALSE)</f>
        <v>0</v>
      </c>
      <c r="D11" s="35">
        <f>HLOOKUP($D$2,'Baza kruszyw'!$C$2:$T$20,10,FALSE)</f>
        <v>0</v>
      </c>
      <c r="E11" s="35">
        <f>HLOOKUP($E$2,'Baza kruszyw'!$C$2:$T$20,10,FALSE)</f>
        <v>42.5</v>
      </c>
      <c r="F11" s="35">
        <f>HLOOKUP($F$2,'Baza kruszyw'!$C$2:$T$20,10,FALSE)</f>
        <v>15.2</v>
      </c>
      <c r="G11" s="35">
        <f>HLOOKUP($G$2,'Baza kruszyw'!$C$2:$T$20,10,FALSE)</f>
        <v>0</v>
      </c>
      <c r="H11" s="35">
        <f>HLOOKUP($H$2,'Baza kruszyw'!$C$2:$T$20,10,FALSE)</f>
        <v>0</v>
      </c>
      <c r="I11" s="35">
        <f>HLOOKUP($I$2,'Baza kruszyw'!$C$2:$T$20,10,FALSE)</f>
        <v>0</v>
      </c>
      <c r="J11" s="30"/>
    </row>
    <row r="12" spans="1:10" x14ac:dyDescent="0.25">
      <c r="A12" s="30"/>
      <c r="B12" s="34">
        <v>2</v>
      </c>
      <c r="C12" s="35">
        <f>HLOOKUP($C$2,'Baza kruszyw'!$C$2:$T$20,11,FALSE)</f>
        <v>0</v>
      </c>
      <c r="D12" s="35">
        <f>HLOOKUP($D$2,'Baza kruszyw'!$C$2:$T$20,11,FALSE)</f>
        <v>19.8</v>
      </c>
      <c r="E12" s="35">
        <f>HLOOKUP($E$2,'Baza kruszyw'!$C$2:$T$20,11,FALSE)</f>
        <v>2.8</v>
      </c>
      <c r="F12" s="35">
        <f>HLOOKUP($F$2,'Baza kruszyw'!$C$2:$T$20,11,FALSE)</f>
        <v>3.2</v>
      </c>
      <c r="G12" s="35">
        <f>HLOOKUP($G$2,'Baza kruszyw'!$C$2:$T$20,11,FALSE)</f>
        <v>0</v>
      </c>
      <c r="H12" s="35">
        <f>HLOOKUP($H$2,'Baza kruszyw'!$C$2:$T$20,11,FALSE)</f>
        <v>0</v>
      </c>
      <c r="I12" s="35">
        <f>HLOOKUP($I$2,'Baza kruszyw'!$C$2:$T$20,11,FALSE)</f>
        <v>0</v>
      </c>
      <c r="J12" s="30"/>
    </row>
    <row r="13" spans="1:10" x14ac:dyDescent="0.25">
      <c r="A13" s="30"/>
      <c r="B13" s="34">
        <v>1</v>
      </c>
      <c r="C13" s="35">
        <f>HLOOKUP($C$2,'Baza kruszyw'!$C$2:$T$20,12,FALSE)</f>
        <v>0</v>
      </c>
      <c r="D13" s="35">
        <f>HLOOKUP($D$2,'Baza kruszyw'!$C$2:$T$20,12,FALSE)</f>
        <v>27.8</v>
      </c>
      <c r="E13" s="35">
        <f>HLOOKUP($E$2,'Baza kruszyw'!$C$2:$T$20,12,FALSE)</f>
        <v>0</v>
      </c>
      <c r="F13" s="35">
        <f>HLOOKUP($F$2,'Baza kruszyw'!$C$2:$T$20,12,FALSE)</f>
        <v>0</v>
      </c>
      <c r="G13" s="35">
        <f>HLOOKUP($G$2,'Baza kruszyw'!$C$2:$T$20,12,FALSE)</f>
        <v>0</v>
      </c>
      <c r="H13" s="35">
        <f>HLOOKUP($H$2,'Baza kruszyw'!$C$2:$T$20,12,FALSE)</f>
        <v>0</v>
      </c>
      <c r="I13" s="35">
        <f>HLOOKUP($I$2,'Baza kruszyw'!$C$2:$T$20,12,FALSE)</f>
        <v>0</v>
      </c>
      <c r="J13" s="30"/>
    </row>
    <row r="14" spans="1:10" x14ac:dyDescent="0.25">
      <c r="A14" s="30"/>
      <c r="B14" s="34">
        <v>0.5</v>
      </c>
      <c r="C14" s="35">
        <f>HLOOKUP($C$2,'Baza kruszyw'!$C$2:$T$20,13,FALSE)</f>
        <v>0</v>
      </c>
      <c r="D14" s="35">
        <f>HLOOKUP($D$2,'Baza kruszyw'!$C$2:$T$20,13,FALSE)</f>
        <v>20.6</v>
      </c>
      <c r="E14" s="35">
        <f>HLOOKUP($E$2,'Baza kruszyw'!$C$2:$T$20,13,FALSE)</f>
        <v>0</v>
      </c>
      <c r="F14" s="35">
        <f>HLOOKUP($F$2,'Baza kruszyw'!$C$2:$T$20,13,FALSE)</f>
        <v>0</v>
      </c>
      <c r="G14" s="35">
        <f>HLOOKUP($G$2,'Baza kruszyw'!$C$2:$T$20,13,FALSE)</f>
        <v>0</v>
      </c>
      <c r="H14" s="35">
        <f>HLOOKUP($H$2,'Baza kruszyw'!$C$2:$T$20,13,FALSE)</f>
        <v>0</v>
      </c>
      <c r="I14" s="35">
        <f>HLOOKUP($I$2,'Baza kruszyw'!$C$2:$T$20,13,FALSE)</f>
        <v>0</v>
      </c>
      <c r="J14" s="30"/>
    </row>
    <row r="15" spans="1:10" x14ac:dyDescent="0.25">
      <c r="A15" s="30"/>
      <c r="B15" s="34">
        <v>0.25</v>
      </c>
      <c r="C15" s="35">
        <f>HLOOKUP($C$2,'Baza kruszyw'!$C$2:$T$20,14,FALSE)</f>
        <v>0</v>
      </c>
      <c r="D15" s="35">
        <f>HLOOKUP($D$2,'Baza kruszyw'!$C$2:$T$20,14,FALSE)</f>
        <v>17.2</v>
      </c>
      <c r="E15" s="35">
        <f>HLOOKUP($E$2,'Baza kruszyw'!$C$2:$T$20,14,FALSE)</f>
        <v>0</v>
      </c>
      <c r="F15" s="35">
        <f>HLOOKUP($F$2,'Baza kruszyw'!$C$2:$T$20,14,FALSE)</f>
        <v>0</v>
      </c>
      <c r="G15" s="35">
        <f>HLOOKUP($G$2,'Baza kruszyw'!$C$2:$T$20,14,FALSE)</f>
        <v>0</v>
      </c>
      <c r="H15" s="35">
        <f>HLOOKUP($H$2,'Baza kruszyw'!$C$2:$T$20,14,FALSE)</f>
        <v>0</v>
      </c>
      <c r="I15" s="35">
        <f>HLOOKUP($I$2,'Baza kruszyw'!$C$2:$T$20,14,FALSE)</f>
        <v>0</v>
      </c>
      <c r="J15" s="30"/>
    </row>
    <row r="16" spans="1:10" x14ac:dyDescent="0.25">
      <c r="A16" s="30"/>
      <c r="B16" s="34">
        <v>0.125</v>
      </c>
      <c r="C16" s="35">
        <f>HLOOKUP($C$2,'Baza kruszyw'!$C$2:$T$20,15,FALSE)</f>
        <v>4.9000000000000004</v>
      </c>
      <c r="D16" s="35">
        <f>HLOOKUP($D$2,'Baza kruszyw'!$C$2:$T$20,15,FALSE)</f>
        <v>10</v>
      </c>
      <c r="E16" s="35">
        <f>HLOOKUP($E$2,'Baza kruszyw'!$C$2:$T$20,15,FALSE)</f>
        <v>0</v>
      </c>
      <c r="F16" s="35">
        <f>HLOOKUP($F$2,'Baza kruszyw'!$C$2:$T$20,15,FALSE)</f>
        <v>0</v>
      </c>
      <c r="G16" s="35">
        <f>HLOOKUP($G$2,'Baza kruszyw'!$C$2:$T$20,15,FALSE)</f>
        <v>0</v>
      </c>
      <c r="H16" s="35">
        <f>HLOOKUP($H$2,'Baza kruszyw'!$C$2:$T$20,15,FALSE)</f>
        <v>0</v>
      </c>
      <c r="I16" s="35">
        <f>HLOOKUP($I$2,'Baza kruszyw'!$C$2:$T$20,15,FALSE)</f>
        <v>0</v>
      </c>
      <c r="J16" s="30"/>
    </row>
    <row r="17" spans="1:15" x14ac:dyDescent="0.25">
      <c r="A17" s="30"/>
      <c r="B17" s="34">
        <v>6.3E-2</v>
      </c>
      <c r="C17" s="35">
        <f>HLOOKUP($C$2,'Baza kruszyw'!$C$2:$T$20,16,FALSE)</f>
        <v>19.7</v>
      </c>
      <c r="D17" s="35">
        <f>HLOOKUP($D$2,'Baza kruszyw'!$C$2:$T$20,16,FALSE)</f>
        <v>2.8</v>
      </c>
      <c r="E17" s="35">
        <f>HLOOKUP($E$2,'Baza kruszyw'!$C$2:$T$20,16,FALSE)</f>
        <v>0</v>
      </c>
      <c r="F17" s="35">
        <f>HLOOKUP($F$2,'Baza kruszyw'!$C$2:$T$20,16,FALSE)</f>
        <v>0</v>
      </c>
      <c r="G17" s="35">
        <f>HLOOKUP($G$2,'Baza kruszyw'!$C$2:$T$20,16,FALSE)</f>
        <v>0</v>
      </c>
      <c r="H17" s="35">
        <f>HLOOKUP($H$2,'Baza kruszyw'!$C$2:$T$20,16,FALSE)</f>
        <v>0</v>
      </c>
      <c r="I17" s="35">
        <f>HLOOKUP($I$2,'Baza kruszyw'!$C$2:$T$20,16,FALSE)</f>
        <v>0</v>
      </c>
      <c r="J17" s="30"/>
    </row>
    <row r="18" spans="1:15" x14ac:dyDescent="0.25">
      <c r="A18" s="30"/>
      <c r="B18" s="36" t="s">
        <v>0</v>
      </c>
      <c r="C18" s="35">
        <f>HLOOKUP($C$2,'Baza kruszyw'!$C$2:$T$20,17,FALSE)</f>
        <v>75.400000000000006</v>
      </c>
      <c r="D18" s="35">
        <f>HLOOKUP($D$2,'Baza kruszyw'!$C$2:$T$20,17,FALSE)</f>
        <v>1.8</v>
      </c>
      <c r="E18" s="35">
        <f>HLOOKUP($E$2,'Baza kruszyw'!$C$2:$T$20,17,FALSE)</f>
        <v>0.4</v>
      </c>
      <c r="F18" s="35">
        <f>HLOOKUP($F$2,'Baza kruszyw'!$C$2:$T$20,17,FALSE)</f>
        <v>0.2</v>
      </c>
      <c r="G18" s="35">
        <f>HLOOKUP($G$2,'Baza kruszyw'!$C$2:$T$20,17,FALSE)</f>
        <v>0</v>
      </c>
      <c r="H18" s="35">
        <f>HLOOKUP($H$2,'Baza kruszyw'!$C$2:$T$20,17,FALSE)</f>
        <v>0</v>
      </c>
      <c r="I18" s="35">
        <f>HLOOKUP($I$2,'Baza kruszyw'!$C$2:$T$20,17,FALSE)</f>
        <v>0</v>
      </c>
      <c r="J18" s="38"/>
      <c r="K18" s="13"/>
      <c r="L18" s="13"/>
      <c r="M18" s="13"/>
      <c r="N18" s="13"/>
      <c r="O18" s="13"/>
    </row>
    <row r="19" spans="1:15" x14ac:dyDescent="0.25">
      <c r="A19" s="30"/>
      <c r="B19" s="36" t="s">
        <v>12</v>
      </c>
      <c r="C19" s="35">
        <f>HLOOKUP($C$2,'Baza kruszyw'!$C$2:$T$20,18,FALSE)</f>
        <v>100</v>
      </c>
      <c r="D19" s="35">
        <f>HLOOKUP($D$2,'Baza kruszyw'!$C$2:$T$20,18,FALSE)</f>
        <v>100</v>
      </c>
      <c r="E19" s="35">
        <f>HLOOKUP($E$2,'Baza kruszyw'!$C$2:$T$20,18,FALSE)</f>
        <v>100</v>
      </c>
      <c r="F19" s="35">
        <f>HLOOKUP($F$2,'Baza kruszyw'!$C$2:$T$20,18,FALSE)</f>
        <v>100.00000000000001</v>
      </c>
      <c r="G19" s="35">
        <f>HLOOKUP($G$2,'Baza kruszyw'!$C$2:$T$20,18,FALSE)</f>
        <v>0</v>
      </c>
      <c r="H19" s="35">
        <f>HLOOKUP($H$2,'Baza kruszyw'!$C$2:$T$20,18,FALSE)</f>
        <v>0</v>
      </c>
      <c r="I19" s="35">
        <f>HLOOKUP($I$2,'Baza kruszyw'!$C$2:$T$20,18,FALSE)</f>
        <v>0</v>
      </c>
      <c r="J19" s="38"/>
      <c r="K19" s="13"/>
      <c r="L19" s="13"/>
      <c r="M19" s="13"/>
      <c r="N19" s="13"/>
      <c r="O19" s="13"/>
    </row>
    <row r="20" spans="1:15" x14ac:dyDescent="0.25">
      <c r="A20" s="30"/>
      <c r="B20" s="37" t="s">
        <v>13</v>
      </c>
      <c r="C20" s="35">
        <f>HLOOKUP($C$2,'Baza kruszyw'!$C$2:$T$20,19,FALSE)</f>
        <v>2.75</v>
      </c>
      <c r="D20" s="35">
        <f>HLOOKUP($D$2,'Baza kruszyw'!$C$2:$T$20,19,FALSE)</f>
        <v>2.6509999999999998</v>
      </c>
      <c r="E20" s="35">
        <f>HLOOKUP($E$2,'Baza kruszyw'!$C$2:$T$20,19,FALSE)</f>
        <v>3</v>
      </c>
      <c r="F20" s="35">
        <f>HLOOKUP($F$2,'Baza kruszyw'!$C$2:$T$20,19,FALSE)</f>
        <v>2.98</v>
      </c>
      <c r="G20" s="35">
        <f>HLOOKUP($G$2,'Baza kruszyw'!$C$2:$T$20,19,FALSE)</f>
        <v>0</v>
      </c>
      <c r="H20" s="35">
        <f>HLOOKUP($H$2,'Baza kruszyw'!$C$2:$T$20,19,FALSE)</f>
        <v>0</v>
      </c>
      <c r="I20" s="35">
        <f>HLOOKUP($I$2,'Baza kruszyw'!$C$2:$T$20,19,FALSE)</f>
        <v>0</v>
      </c>
      <c r="J20" s="38"/>
      <c r="K20" s="13"/>
      <c r="L20" s="13"/>
      <c r="M20" s="13"/>
      <c r="N20" s="13"/>
      <c r="O20" s="13"/>
    </row>
    <row r="21" spans="1:15" x14ac:dyDescent="0.25">
      <c r="A21" s="30"/>
      <c r="B21" s="38"/>
      <c r="C21" s="38"/>
      <c r="D21" s="38"/>
      <c r="E21" s="38"/>
      <c r="F21" s="38"/>
      <c r="G21" s="38"/>
      <c r="H21" s="38"/>
      <c r="I21" s="38"/>
      <c r="J21" s="38"/>
      <c r="K21" s="13"/>
      <c r="L21" s="13"/>
      <c r="M21" s="13"/>
      <c r="N21" s="13"/>
      <c r="O21" s="13"/>
    </row>
    <row r="22" spans="1:15" x14ac:dyDescent="0.25">
      <c r="A22" s="30"/>
      <c r="B22" s="38"/>
      <c r="C22" s="38"/>
      <c r="D22" s="38"/>
      <c r="E22" s="38"/>
      <c r="F22" s="38"/>
      <c r="G22" s="38"/>
      <c r="H22" s="38"/>
      <c r="I22" s="38"/>
      <c r="J22" s="38"/>
      <c r="K22" s="13"/>
      <c r="L22" s="13"/>
      <c r="M22" s="13"/>
      <c r="N22" s="13"/>
      <c r="O22" s="13"/>
    </row>
    <row r="23" spans="1:15" x14ac:dyDescent="0.25">
      <c r="A23" s="30"/>
      <c r="B23" s="38"/>
      <c r="C23" s="38"/>
      <c r="D23" s="38"/>
      <c r="E23" s="38"/>
      <c r="F23" s="38"/>
      <c r="G23" s="38"/>
      <c r="H23" s="38"/>
      <c r="I23" s="38"/>
      <c r="J23" s="38"/>
      <c r="K23" s="13"/>
      <c r="L23" s="13"/>
      <c r="M23" s="13"/>
      <c r="N23" s="13"/>
      <c r="O23" s="13"/>
    </row>
    <row r="24" spans="1:15" x14ac:dyDescent="0.25">
      <c r="A24" s="30"/>
      <c r="B24" s="38"/>
      <c r="C24" s="31" t="s">
        <v>14</v>
      </c>
      <c r="D24" s="31" t="s">
        <v>15</v>
      </c>
      <c r="E24" s="31" t="s">
        <v>16</v>
      </c>
      <c r="F24" s="31" t="s">
        <v>17</v>
      </c>
      <c r="G24" s="31" t="s">
        <v>18</v>
      </c>
      <c r="H24" s="31" t="s">
        <v>19</v>
      </c>
      <c r="I24" s="31" t="s">
        <v>20</v>
      </c>
      <c r="J24" s="13"/>
      <c r="K24" s="13"/>
      <c r="L24" s="13"/>
      <c r="M24" s="14" t="s">
        <v>36</v>
      </c>
      <c r="N24" s="13"/>
      <c r="O24" s="13"/>
    </row>
    <row r="25" spans="1:15" x14ac:dyDescent="0.25">
      <c r="A25" s="30"/>
      <c r="B25" s="39" t="s">
        <v>44</v>
      </c>
      <c r="C25" s="40">
        <v>10</v>
      </c>
      <c r="D25" s="40">
        <v>20</v>
      </c>
      <c r="E25" s="40">
        <v>32.5</v>
      </c>
      <c r="F25" s="40">
        <v>37.5</v>
      </c>
      <c r="G25" s="40">
        <v>0</v>
      </c>
      <c r="H25" s="40">
        <v>0</v>
      </c>
      <c r="I25" s="40">
        <v>0</v>
      </c>
      <c r="J25" s="41"/>
      <c r="K25" s="56" t="s">
        <v>49</v>
      </c>
      <c r="L25" s="56"/>
      <c r="M25" s="13" t="str">
        <f>HLOOKUP($M$24,'Krzywe gran. + zaw. asf. WT-2'!C2:X30,2,FALSE)</f>
        <v>Ścieralna SMA KR 1-7 0/8</v>
      </c>
      <c r="N25" s="13"/>
      <c r="O25" s="13"/>
    </row>
    <row r="26" spans="1:15" x14ac:dyDescent="0.25">
      <c r="A26" s="30"/>
      <c r="B26" s="32" t="s">
        <v>45</v>
      </c>
      <c r="C26" s="28" t="str">
        <f>C3</f>
        <v>mączka wapienna nr 1</v>
      </c>
      <c r="D26" s="28" t="str">
        <f t="shared" ref="D26:I26" si="0">D3</f>
        <v>piasek naturalny kopalniany 0/2</v>
      </c>
      <c r="E26" s="28" t="str">
        <f t="shared" si="0"/>
        <v>grys gabro 2/5</v>
      </c>
      <c r="F26" s="28" t="str">
        <f t="shared" si="0"/>
        <v>grys melafirowy 5/8</v>
      </c>
      <c r="G26" s="28" t="str">
        <f t="shared" si="0"/>
        <v>-</v>
      </c>
      <c r="H26" s="28" t="str">
        <f t="shared" si="0"/>
        <v>-</v>
      </c>
      <c r="I26" s="28" t="str">
        <f t="shared" si="0"/>
        <v>-</v>
      </c>
      <c r="J26" s="42" t="s">
        <v>45</v>
      </c>
      <c r="K26" s="14" t="s">
        <v>47</v>
      </c>
      <c r="L26" s="14" t="s">
        <v>48</v>
      </c>
      <c r="M26" s="14" t="s">
        <v>7</v>
      </c>
      <c r="N26" s="14" t="s">
        <v>8</v>
      </c>
      <c r="O26" s="13"/>
    </row>
    <row r="27" spans="1:15" x14ac:dyDescent="0.25">
      <c r="A27" s="30"/>
      <c r="B27" s="34">
        <v>45</v>
      </c>
      <c r="C27" s="28">
        <f>C4*($C$25/100)</f>
        <v>0</v>
      </c>
      <c r="D27" s="28">
        <f>D4*($D$25/100)</f>
        <v>0</v>
      </c>
      <c r="E27" s="28">
        <f>E4*($E$25/100)</f>
        <v>0</v>
      </c>
      <c r="F27" s="28">
        <f>F4*($F$25/100)</f>
        <v>0</v>
      </c>
      <c r="G27" s="28">
        <f>G4*($G$25/100)</f>
        <v>0</v>
      </c>
      <c r="H27" s="28">
        <f>H4*($H$25/100)</f>
        <v>0</v>
      </c>
      <c r="I27" s="28">
        <f>I4*($I$25/100)</f>
        <v>0</v>
      </c>
      <c r="J27" s="43">
        <v>45</v>
      </c>
      <c r="K27" s="17">
        <f>ROUND(SUM(C27:I27),1)</f>
        <v>0</v>
      </c>
      <c r="L27" s="54">
        <f>ROUND(K28+L28,1)</f>
        <v>100</v>
      </c>
      <c r="M27" s="21">
        <f>HLOOKUP($M$24,'Krzywe gran. + zaw. asf. WT-2'!$C$2:$X$30,5,FALSE)</f>
        <v>100</v>
      </c>
      <c r="N27" s="21">
        <f>HLOOKUP($M$24,'Krzywe gran. + zaw. asf. WT-2'!$C$2:$X$30,17,FALSE)</f>
        <v>100</v>
      </c>
      <c r="O27" s="13"/>
    </row>
    <row r="28" spans="1:15" x14ac:dyDescent="0.25">
      <c r="A28" s="30"/>
      <c r="B28" s="34">
        <v>31.5</v>
      </c>
      <c r="C28" s="28">
        <f t="shared" ref="C28:C41" si="1">C5*($C$25/100)</f>
        <v>0</v>
      </c>
      <c r="D28" s="28">
        <f t="shared" ref="D28:D41" si="2">D5*($D$25/100)</f>
        <v>0</v>
      </c>
      <c r="E28" s="28">
        <f t="shared" ref="E28:E41" si="3">E5*($E$25/100)</f>
        <v>0</v>
      </c>
      <c r="F28" s="28">
        <f t="shared" ref="F28:F41" si="4">F5*($F$25/100)</f>
        <v>0</v>
      </c>
      <c r="G28" s="28">
        <f t="shared" ref="G28:G41" si="5">G5*($G$25/100)</f>
        <v>0</v>
      </c>
      <c r="H28" s="28">
        <f t="shared" ref="H28:H41" si="6">H5*($H$25/100)</f>
        <v>0</v>
      </c>
      <c r="I28" s="28">
        <f t="shared" ref="I28:I41" si="7">I5*($I$25/100)</f>
        <v>0</v>
      </c>
      <c r="J28" s="43">
        <v>31.5</v>
      </c>
      <c r="K28" s="17">
        <f t="shared" ref="K28:K41" si="8">ROUND(SUM(C28:I28),1)</f>
        <v>0</v>
      </c>
      <c r="L28" s="54">
        <f t="shared" ref="L28:L40" si="9">ROUND(K29+L29,1)</f>
        <v>100</v>
      </c>
      <c r="M28" s="21">
        <f>HLOOKUP($M$24,'Krzywe gran. + zaw. asf. WT-2'!$C$2:$X$30,6,FALSE)</f>
        <v>100</v>
      </c>
      <c r="N28" s="21">
        <f>HLOOKUP($M$24,'Krzywe gran. + zaw. asf. WT-2'!$C$2:$X$30,18,FALSE)</f>
        <v>100</v>
      </c>
      <c r="O28" s="13"/>
    </row>
    <row r="29" spans="1:15" x14ac:dyDescent="0.25">
      <c r="A29" s="30"/>
      <c r="B29" s="34">
        <v>22.4</v>
      </c>
      <c r="C29" s="28">
        <f t="shared" si="1"/>
        <v>0</v>
      </c>
      <c r="D29" s="28">
        <f t="shared" si="2"/>
        <v>0</v>
      </c>
      <c r="E29" s="28">
        <f t="shared" si="3"/>
        <v>0</v>
      </c>
      <c r="F29" s="28">
        <f t="shared" si="4"/>
        <v>0</v>
      </c>
      <c r="G29" s="28">
        <f t="shared" si="5"/>
        <v>0</v>
      </c>
      <c r="H29" s="28">
        <f t="shared" si="6"/>
        <v>0</v>
      </c>
      <c r="I29" s="28">
        <f t="shared" si="7"/>
        <v>0</v>
      </c>
      <c r="J29" s="43">
        <v>22.4</v>
      </c>
      <c r="K29" s="17">
        <f t="shared" si="8"/>
        <v>0</v>
      </c>
      <c r="L29" s="54">
        <f t="shared" si="9"/>
        <v>100</v>
      </c>
      <c r="M29" s="21">
        <f>HLOOKUP($M$24,'Krzywe gran. + zaw. asf. WT-2'!$C$2:$X$30,7,FALSE)</f>
        <v>100</v>
      </c>
      <c r="N29" s="21">
        <f>HLOOKUP($M$24,'Krzywe gran. + zaw. asf. WT-2'!$C$2:$X$30,19,FALSE)</f>
        <v>100</v>
      </c>
      <c r="O29" s="13"/>
    </row>
    <row r="30" spans="1:15" x14ac:dyDescent="0.25">
      <c r="A30" s="30"/>
      <c r="B30" s="34">
        <v>16</v>
      </c>
      <c r="C30" s="28">
        <f t="shared" si="1"/>
        <v>0</v>
      </c>
      <c r="D30" s="28">
        <f t="shared" si="2"/>
        <v>0</v>
      </c>
      <c r="E30" s="28">
        <f t="shared" si="3"/>
        <v>0</v>
      </c>
      <c r="F30" s="28">
        <f t="shared" si="4"/>
        <v>0</v>
      </c>
      <c r="G30" s="28">
        <f t="shared" si="5"/>
        <v>0</v>
      </c>
      <c r="H30" s="28">
        <f t="shared" si="6"/>
        <v>0</v>
      </c>
      <c r="I30" s="28">
        <f t="shared" si="7"/>
        <v>0</v>
      </c>
      <c r="J30" s="43">
        <v>16</v>
      </c>
      <c r="K30" s="17">
        <f t="shared" si="8"/>
        <v>0</v>
      </c>
      <c r="L30" s="54">
        <f t="shared" si="9"/>
        <v>100</v>
      </c>
      <c r="M30" s="21">
        <f>HLOOKUP($M$24,'Krzywe gran. + zaw. asf. WT-2'!$C$2:$X$30,8,FALSE)</f>
        <v>100</v>
      </c>
      <c r="N30" s="21">
        <f>HLOOKUP($M$24,'Krzywe gran. + zaw. asf. WT-2'!$C$2:$X$30,20,FALSE)</f>
        <v>100</v>
      </c>
      <c r="O30" s="13"/>
    </row>
    <row r="31" spans="1:15" x14ac:dyDescent="0.25">
      <c r="A31" s="30"/>
      <c r="B31" s="34">
        <v>11.2</v>
      </c>
      <c r="C31" s="28">
        <f t="shared" si="1"/>
        <v>0</v>
      </c>
      <c r="D31" s="28">
        <f t="shared" si="2"/>
        <v>0</v>
      </c>
      <c r="E31" s="28">
        <f t="shared" si="3"/>
        <v>0</v>
      </c>
      <c r="F31" s="28">
        <f t="shared" si="4"/>
        <v>0</v>
      </c>
      <c r="G31" s="28">
        <f t="shared" si="5"/>
        <v>0</v>
      </c>
      <c r="H31" s="28">
        <f t="shared" si="6"/>
        <v>0</v>
      </c>
      <c r="I31" s="28">
        <f t="shared" si="7"/>
        <v>0</v>
      </c>
      <c r="J31" s="43">
        <v>11.2</v>
      </c>
      <c r="K31" s="17">
        <f t="shared" si="8"/>
        <v>0</v>
      </c>
      <c r="L31" s="54">
        <f t="shared" si="9"/>
        <v>100</v>
      </c>
      <c r="M31" s="21">
        <f>HLOOKUP($M$24,'Krzywe gran. + zaw. asf. WT-2'!$C$2:$X$30,9,FALSE)</f>
        <v>100</v>
      </c>
      <c r="N31" s="21">
        <f>HLOOKUP($M$24,'Krzywe gran. + zaw. asf. WT-2'!$C$2:$X$30,21,FALSE)</f>
        <v>100</v>
      </c>
      <c r="O31" s="13"/>
    </row>
    <row r="32" spans="1:15" x14ac:dyDescent="0.25">
      <c r="A32" s="30"/>
      <c r="B32" s="34">
        <v>8</v>
      </c>
      <c r="C32" s="28">
        <f t="shared" si="1"/>
        <v>0</v>
      </c>
      <c r="D32" s="28">
        <f t="shared" si="2"/>
        <v>0</v>
      </c>
      <c r="E32" s="28">
        <f t="shared" si="3"/>
        <v>9.7500000000000003E-2</v>
      </c>
      <c r="F32" s="28">
        <f t="shared" si="4"/>
        <v>6.0749999999999993</v>
      </c>
      <c r="G32" s="28">
        <f t="shared" si="5"/>
        <v>0</v>
      </c>
      <c r="H32" s="28">
        <f t="shared" si="6"/>
        <v>0</v>
      </c>
      <c r="I32" s="28">
        <f t="shared" si="7"/>
        <v>0</v>
      </c>
      <c r="J32" s="43">
        <v>8</v>
      </c>
      <c r="K32" s="17">
        <f t="shared" si="8"/>
        <v>6.2</v>
      </c>
      <c r="L32" s="54">
        <f t="shared" si="9"/>
        <v>93.8</v>
      </c>
      <c r="M32" s="21">
        <f>HLOOKUP($M$24,'Krzywe gran. + zaw. asf. WT-2'!$C$2:$X$30,10,FALSE)</f>
        <v>90</v>
      </c>
      <c r="N32" s="21">
        <f>HLOOKUP($M$24,'Krzywe gran. + zaw. asf. WT-2'!$C$2:$X$30,22,FALSE)</f>
        <v>100</v>
      </c>
      <c r="O32" s="13"/>
    </row>
    <row r="33" spans="1:15" x14ac:dyDescent="0.25">
      <c r="A33" s="30"/>
      <c r="B33" s="34">
        <v>5.6</v>
      </c>
      <c r="C33" s="28">
        <f t="shared" si="1"/>
        <v>0</v>
      </c>
      <c r="D33" s="28">
        <f t="shared" si="2"/>
        <v>0</v>
      </c>
      <c r="E33" s="28">
        <f t="shared" si="3"/>
        <v>17.55</v>
      </c>
      <c r="F33" s="28">
        <f t="shared" si="4"/>
        <v>24.450000000000003</v>
      </c>
      <c r="G33" s="28">
        <f t="shared" si="5"/>
        <v>0</v>
      </c>
      <c r="H33" s="28">
        <f t="shared" si="6"/>
        <v>0</v>
      </c>
      <c r="I33" s="28">
        <f t="shared" si="7"/>
        <v>0</v>
      </c>
      <c r="J33" s="43">
        <v>5.6</v>
      </c>
      <c r="K33" s="17">
        <f t="shared" si="8"/>
        <v>42</v>
      </c>
      <c r="L33" s="54">
        <f t="shared" si="9"/>
        <v>51.8</v>
      </c>
      <c r="M33" s="21">
        <f>HLOOKUP($M$24,'Krzywe gran. + zaw. asf. WT-2'!$C$2:$X$30,11,FALSE)</f>
        <v>35</v>
      </c>
      <c r="N33" s="21">
        <f>HLOOKUP($M$24,'Krzywe gran. + zaw. asf. WT-2'!$C$2:$X$30,23,FALSE)</f>
        <v>60</v>
      </c>
      <c r="O33" s="13"/>
    </row>
    <row r="34" spans="1:15" x14ac:dyDescent="0.25">
      <c r="A34" s="30"/>
      <c r="B34" s="34">
        <v>4</v>
      </c>
      <c r="C34" s="28">
        <f t="shared" si="1"/>
        <v>0</v>
      </c>
      <c r="D34" s="28">
        <f t="shared" si="2"/>
        <v>0</v>
      </c>
      <c r="E34" s="28">
        <f t="shared" si="3"/>
        <v>13.8125</v>
      </c>
      <c r="F34" s="28">
        <f t="shared" si="4"/>
        <v>5.6999999999999993</v>
      </c>
      <c r="G34" s="28">
        <f t="shared" si="5"/>
        <v>0</v>
      </c>
      <c r="H34" s="28">
        <f t="shared" si="6"/>
        <v>0</v>
      </c>
      <c r="I34" s="28">
        <f t="shared" si="7"/>
        <v>0</v>
      </c>
      <c r="J34" s="43">
        <v>4</v>
      </c>
      <c r="K34" s="17">
        <f t="shared" si="8"/>
        <v>19.5</v>
      </c>
      <c r="L34" s="54">
        <f t="shared" si="9"/>
        <v>32.299999999999997</v>
      </c>
      <c r="M34" s="21" t="s">
        <v>11</v>
      </c>
      <c r="N34" s="21" t="s">
        <v>11</v>
      </c>
      <c r="O34" s="13"/>
    </row>
    <row r="35" spans="1:15" x14ac:dyDescent="0.25">
      <c r="A35" s="30"/>
      <c r="B35" s="34">
        <v>2</v>
      </c>
      <c r="C35" s="28">
        <f t="shared" si="1"/>
        <v>0</v>
      </c>
      <c r="D35" s="28">
        <f t="shared" si="2"/>
        <v>3.9600000000000004</v>
      </c>
      <c r="E35" s="28">
        <f t="shared" si="3"/>
        <v>0.90999999999999992</v>
      </c>
      <c r="F35" s="28">
        <f t="shared" si="4"/>
        <v>1.2000000000000002</v>
      </c>
      <c r="G35" s="28">
        <f t="shared" si="5"/>
        <v>0</v>
      </c>
      <c r="H35" s="28">
        <f t="shared" si="6"/>
        <v>0</v>
      </c>
      <c r="I35" s="28">
        <f t="shared" si="7"/>
        <v>0</v>
      </c>
      <c r="J35" s="43">
        <v>2</v>
      </c>
      <c r="K35" s="17">
        <f t="shared" si="8"/>
        <v>6.1</v>
      </c>
      <c r="L35" s="54">
        <f t="shared" si="9"/>
        <v>26.2</v>
      </c>
      <c r="M35" s="21">
        <f>HLOOKUP($M$24,'Krzywe gran. + zaw. asf. WT-2'!$C$2:$X$30,12,FALSE)</f>
        <v>20</v>
      </c>
      <c r="N35" s="21">
        <f>HLOOKUP($M$24,'Krzywe gran. + zaw. asf. WT-2'!$C$2:$X$30,24,FALSE)</f>
        <v>30</v>
      </c>
      <c r="O35" s="13"/>
    </row>
    <row r="36" spans="1:15" x14ac:dyDescent="0.25">
      <c r="A36" s="30"/>
      <c r="B36" s="34">
        <v>1</v>
      </c>
      <c r="C36" s="28">
        <f t="shared" si="1"/>
        <v>0</v>
      </c>
      <c r="D36" s="28">
        <f t="shared" si="2"/>
        <v>5.5600000000000005</v>
      </c>
      <c r="E36" s="28">
        <f t="shared" si="3"/>
        <v>0</v>
      </c>
      <c r="F36" s="28">
        <f t="shared" si="4"/>
        <v>0</v>
      </c>
      <c r="G36" s="28">
        <f t="shared" si="5"/>
        <v>0</v>
      </c>
      <c r="H36" s="28">
        <f t="shared" si="6"/>
        <v>0</v>
      </c>
      <c r="I36" s="28">
        <f t="shared" si="7"/>
        <v>0</v>
      </c>
      <c r="J36" s="43">
        <v>1</v>
      </c>
      <c r="K36" s="17">
        <f t="shared" si="8"/>
        <v>5.6</v>
      </c>
      <c r="L36" s="54">
        <f t="shared" si="9"/>
        <v>20.6</v>
      </c>
      <c r="M36" s="21" t="s">
        <v>11</v>
      </c>
      <c r="N36" s="21" t="s">
        <v>11</v>
      </c>
      <c r="O36" s="13"/>
    </row>
    <row r="37" spans="1:15" x14ac:dyDescent="0.25">
      <c r="A37" s="30"/>
      <c r="B37" s="34">
        <v>0.5</v>
      </c>
      <c r="C37" s="28">
        <f t="shared" si="1"/>
        <v>0</v>
      </c>
      <c r="D37" s="28">
        <f t="shared" si="2"/>
        <v>4.12</v>
      </c>
      <c r="E37" s="28">
        <f t="shared" si="3"/>
        <v>0</v>
      </c>
      <c r="F37" s="28">
        <f t="shared" si="4"/>
        <v>0</v>
      </c>
      <c r="G37" s="28">
        <f t="shared" si="5"/>
        <v>0</v>
      </c>
      <c r="H37" s="28">
        <f t="shared" si="6"/>
        <v>0</v>
      </c>
      <c r="I37" s="28">
        <f t="shared" si="7"/>
        <v>0</v>
      </c>
      <c r="J37" s="43">
        <v>0.5</v>
      </c>
      <c r="K37" s="17">
        <f t="shared" si="8"/>
        <v>4.0999999999999996</v>
      </c>
      <c r="L37" s="54">
        <f t="shared" si="9"/>
        <v>16.5</v>
      </c>
      <c r="M37" s="21" t="s">
        <v>11</v>
      </c>
      <c r="N37" s="21" t="s">
        <v>11</v>
      </c>
      <c r="O37" s="13"/>
    </row>
    <row r="38" spans="1:15" x14ac:dyDescent="0.25">
      <c r="A38" s="30"/>
      <c r="B38" s="34">
        <v>0.25</v>
      </c>
      <c r="C38" s="28">
        <f t="shared" si="1"/>
        <v>0</v>
      </c>
      <c r="D38" s="28">
        <f t="shared" si="2"/>
        <v>3.44</v>
      </c>
      <c r="E38" s="28">
        <f t="shared" si="3"/>
        <v>0</v>
      </c>
      <c r="F38" s="28">
        <f t="shared" si="4"/>
        <v>0</v>
      </c>
      <c r="G38" s="28">
        <f t="shared" si="5"/>
        <v>0</v>
      </c>
      <c r="H38" s="28">
        <f t="shared" si="6"/>
        <v>0</v>
      </c>
      <c r="I38" s="28">
        <f t="shared" si="7"/>
        <v>0</v>
      </c>
      <c r="J38" s="43">
        <v>0.25</v>
      </c>
      <c r="K38" s="17">
        <f t="shared" si="8"/>
        <v>3.4</v>
      </c>
      <c r="L38" s="54">
        <f t="shared" si="9"/>
        <v>13.1</v>
      </c>
      <c r="M38" s="21" t="s">
        <v>11</v>
      </c>
      <c r="N38" s="21" t="s">
        <v>11</v>
      </c>
      <c r="O38" s="13"/>
    </row>
    <row r="39" spans="1:15" x14ac:dyDescent="0.25">
      <c r="A39" s="30"/>
      <c r="B39" s="34">
        <v>0.125</v>
      </c>
      <c r="C39" s="28">
        <f t="shared" si="1"/>
        <v>0.49000000000000005</v>
      </c>
      <c r="D39" s="28">
        <f t="shared" si="2"/>
        <v>2</v>
      </c>
      <c r="E39" s="28">
        <f t="shared" si="3"/>
        <v>0</v>
      </c>
      <c r="F39" s="28">
        <f t="shared" si="4"/>
        <v>0</v>
      </c>
      <c r="G39" s="28">
        <f t="shared" si="5"/>
        <v>0</v>
      </c>
      <c r="H39" s="28">
        <f t="shared" si="6"/>
        <v>0</v>
      </c>
      <c r="I39" s="28">
        <f t="shared" si="7"/>
        <v>0</v>
      </c>
      <c r="J39" s="43">
        <v>0.125</v>
      </c>
      <c r="K39" s="17">
        <f t="shared" si="8"/>
        <v>2.5</v>
      </c>
      <c r="L39" s="54">
        <f t="shared" si="9"/>
        <v>10.6</v>
      </c>
      <c r="M39" s="21">
        <f>HLOOKUP($M$24,'Krzywe gran. + zaw. asf. WT-2'!$C$2:$X$30,13,FALSE)</f>
        <v>9</v>
      </c>
      <c r="N39" s="21">
        <f>HLOOKUP($M$24,'Krzywe gran. + zaw. asf. WT-2'!$C$2:$X$30,25,FALSE)</f>
        <v>17</v>
      </c>
      <c r="O39" s="13"/>
    </row>
    <row r="40" spans="1:15" x14ac:dyDescent="0.25">
      <c r="A40" s="30"/>
      <c r="B40" s="34">
        <v>6.3E-2</v>
      </c>
      <c r="C40" s="28">
        <f t="shared" si="1"/>
        <v>1.97</v>
      </c>
      <c r="D40" s="28">
        <f t="shared" si="2"/>
        <v>0.55999999999999994</v>
      </c>
      <c r="E40" s="28">
        <f t="shared" si="3"/>
        <v>0</v>
      </c>
      <c r="F40" s="28">
        <f t="shared" si="4"/>
        <v>0</v>
      </c>
      <c r="G40" s="28">
        <f t="shared" si="5"/>
        <v>0</v>
      </c>
      <c r="H40" s="28">
        <f t="shared" si="6"/>
        <v>0</v>
      </c>
      <c r="I40" s="28">
        <f t="shared" si="7"/>
        <v>0</v>
      </c>
      <c r="J40" s="43">
        <v>6.3E-2</v>
      </c>
      <c r="K40" s="17">
        <f t="shared" si="8"/>
        <v>2.5</v>
      </c>
      <c r="L40" s="54">
        <f t="shared" si="9"/>
        <v>8.1</v>
      </c>
      <c r="M40" s="21">
        <f>HLOOKUP($M$24,'Krzywe gran. + zaw. asf. WT-2'!$C$2:$X$30,14,FALSE)</f>
        <v>7</v>
      </c>
      <c r="N40" s="21">
        <f>HLOOKUP($M$24,'Krzywe gran. + zaw. asf. WT-2'!$C$2:$X$30,26,FALSE)</f>
        <v>12</v>
      </c>
      <c r="O40" s="13"/>
    </row>
    <row r="41" spans="1:15" x14ac:dyDescent="0.25">
      <c r="A41" s="30"/>
      <c r="B41" s="36" t="s">
        <v>0</v>
      </c>
      <c r="C41" s="28">
        <f t="shared" si="1"/>
        <v>7.5400000000000009</v>
      </c>
      <c r="D41" s="28">
        <f t="shared" si="2"/>
        <v>0.36000000000000004</v>
      </c>
      <c r="E41" s="28">
        <f t="shared" si="3"/>
        <v>0.13</v>
      </c>
      <c r="F41" s="28">
        <f t="shared" si="4"/>
        <v>7.5000000000000011E-2</v>
      </c>
      <c r="G41" s="28">
        <f t="shared" si="5"/>
        <v>0</v>
      </c>
      <c r="H41" s="28">
        <f t="shared" si="6"/>
        <v>0</v>
      </c>
      <c r="I41" s="28">
        <f t="shared" si="7"/>
        <v>0</v>
      </c>
      <c r="J41" s="44" t="s">
        <v>0</v>
      </c>
      <c r="K41" s="17">
        <f t="shared" si="8"/>
        <v>8.1</v>
      </c>
      <c r="L41" s="17"/>
      <c r="M41" s="21"/>
      <c r="N41" s="21"/>
      <c r="O41" s="13"/>
    </row>
    <row r="42" spans="1:15" x14ac:dyDescent="0.25">
      <c r="A42" s="30"/>
      <c r="B42" s="36"/>
      <c r="C42" s="28"/>
      <c r="D42" s="28"/>
      <c r="E42" s="28"/>
      <c r="F42" s="28"/>
      <c r="G42" s="28"/>
      <c r="H42" s="28"/>
      <c r="I42" s="28"/>
      <c r="J42" s="29" t="s">
        <v>46</v>
      </c>
      <c r="K42" s="17">
        <f>ROUND(SUM(K27:K41),1)</f>
        <v>100</v>
      </c>
      <c r="L42" s="26"/>
      <c r="M42" s="14"/>
      <c r="N42" s="21"/>
      <c r="O42" s="13"/>
    </row>
    <row r="43" spans="1:15" x14ac:dyDescent="0.25">
      <c r="A43" s="30"/>
      <c r="B43" s="37"/>
      <c r="C43" s="28"/>
      <c r="D43" s="28"/>
      <c r="E43" s="28"/>
      <c r="F43" s="28"/>
      <c r="G43" s="28"/>
      <c r="H43" s="28"/>
      <c r="I43" s="28"/>
      <c r="J43" s="38"/>
      <c r="K43" s="13"/>
      <c r="L43" s="13"/>
      <c r="M43" s="13"/>
      <c r="N43" s="21"/>
      <c r="O43" s="13"/>
    </row>
    <row r="44" spans="1:15" x14ac:dyDescent="0.25">
      <c r="A44" s="30"/>
      <c r="B44" s="38"/>
      <c r="C44" s="29"/>
      <c r="D44" s="28"/>
      <c r="E44" s="29"/>
      <c r="F44" s="29"/>
      <c r="G44" s="29"/>
      <c r="H44" s="29"/>
      <c r="I44" s="29"/>
      <c r="J44" s="29" t="s">
        <v>10</v>
      </c>
      <c r="K44" s="17">
        <f>HLOOKUP($M$24,'Krzywe gran. + zaw. asf. WT-2'!$C$2:$X$30,29,FALSE)</f>
        <v>7.2</v>
      </c>
      <c r="L44" s="13"/>
      <c r="M44" s="13"/>
      <c r="N44" s="21"/>
      <c r="O44" s="13"/>
    </row>
    <row r="45" spans="1:15" x14ac:dyDescent="0.25">
      <c r="A45" s="30"/>
      <c r="B45" s="38"/>
      <c r="C45" s="38"/>
      <c r="D45" s="38"/>
      <c r="E45" s="38"/>
      <c r="F45" s="38"/>
      <c r="G45" s="38"/>
      <c r="H45" s="38"/>
      <c r="I45" s="38"/>
      <c r="J45" s="38"/>
      <c r="K45" s="13"/>
      <c r="L45" s="13"/>
      <c r="M45" s="13"/>
      <c r="N45" s="21"/>
      <c r="O45" s="13"/>
    </row>
    <row r="46" spans="1:15" x14ac:dyDescent="0.25">
      <c r="A46" s="30"/>
      <c r="B46" s="42"/>
      <c r="C46" s="38"/>
      <c r="D46" s="38"/>
      <c r="E46" s="38"/>
      <c r="F46" s="38"/>
      <c r="G46" s="38"/>
      <c r="H46" s="38"/>
      <c r="I46" s="38"/>
      <c r="J46" s="38"/>
      <c r="K46" s="13"/>
      <c r="L46" s="13"/>
      <c r="M46" s="13"/>
      <c r="N46" s="21"/>
      <c r="O46" s="13"/>
    </row>
    <row r="47" spans="1:15" x14ac:dyDescent="0.25">
      <c r="A47" s="30"/>
      <c r="B47" s="43"/>
      <c r="C47" s="38"/>
      <c r="D47" s="38"/>
      <c r="E47" s="38"/>
      <c r="F47" s="38"/>
      <c r="G47" s="38"/>
      <c r="H47" s="38"/>
      <c r="I47" s="38"/>
      <c r="J47" s="38"/>
      <c r="K47" s="13"/>
      <c r="L47" s="13"/>
      <c r="M47" s="13"/>
      <c r="N47" s="21"/>
      <c r="O47" s="13"/>
    </row>
    <row r="48" spans="1:15" x14ac:dyDescent="0.25">
      <c r="A48" s="30"/>
      <c r="B48" s="43"/>
      <c r="C48" s="38"/>
      <c r="D48" s="38"/>
      <c r="E48" s="38"/>
      <c r="F48" s="38"/>
      <c r="G48" s="38"/>
      <c r="H48" s="38"/>
      <c r="I48" s="38"/>
      <c r="J48" s="38"/>
      <c r="K48" s="13"/>
      <c r="L48" s="13"/>
      <c r="M48" s="13"/>
      <c r="N48" s="21"/>
      <c r="O48" s="13"/>
    </row>
    <row r="49" spans="1:15" x14ac:dyDescent="0.25">
      <c r="A49" s="30"/>
      <c r="B49" s="43"/>
      <c r="C49" s="38"/>
      <c r="D49" s="38"/>
      <c r="E49" s="38"/>
      <c r="F49" s="38"/>
      <c r="G49" s="38"/>
      <c r="H49" s="38"/>
      <c r="I49" s="38"/>
      <c r="J49" s="38"/>
      <c r="K49" s="13"/>
      <c r="L49" s="13"/>
      <c r="M49" s="13"/>
      <c r="N49" s="21"/>
      <c r="O49" s="13"/>
    </row>
    <row r="50" spans="1:15" x14ac:dyDescent="0.25">
      <c r="A50" s="30"/>
      <c r="B50" s="43"/>
      <c r="C50" s="38"/>
      <c r="D50" s="38"/>
      <c r="E50" s="38"/>
      <c r="F50" s="38"/>
      <c r="G50" s="38"/>
      <c r="H50" s="38"/>
      <c r="I50" s="38"/>
      <c r="J50" s="38"/>
      <c r="K50" s="13"/>
      <c r="L50" s="13"/>
      <c r="M50" s="13"/>
      <c r="N50" s="21"/>
      <c r="O50" s="13"/>
    </row>
    <row r="51" spans="1:15" x14ac:dyDescent="0.25">
      <c r="B51" s="4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1"/>
      <c r="O51" s="13"/>
    </row>
    <row r="52" spans="1:15" x14ac:dyDescent="0.25">
      <c r="B52" s="4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x14ac:dyDescent="0.25">
      <c r="B53" s="4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x14ac:dyDescent="0.25">
      <c r="B54" s="4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x14ac:dyDescent="0.25">
      <c r="B55" s="43"/>
      <c r="C55" s="13"/>
      <c r="D55" s="13"/>
      <c r="E55" s="13"/>
      <c r="F55" s="13"/>
      <c r="G55" s="13"/>
      <c r="H55" s="13"/>
      <c r="I55" s="13"/>
      <c r="J55" s="13"/>
    </row>
    <row r="56" spans="1:15" x14ac:dyDescent="0.25">
      <c r="B56" s="43"/>
      <c r="C56" s="13"/>
      <c r="D56" s="13"/>
      <c r="E56" s="13"/>
      <c r="F56" s="13"/>
      <c r="G56" s="13"/>
      <c r="H56" s="13"/>
      <c r="I56" s="13"/>
      <c r="J56" s="13"/>
    </row>
    <row r="57" spans="1:15" x14ac:dyDescent="0.25">
      <c r="B57" s="43"/>
      <c r="C57" s="13"/>
      <c r="D57" s="13"/>
      <c r="E57" s="13"/>
      <c r="F57" s="13"/>
      <c r="G57" s="13"/>
      <c r="H57" s="13"/>
      <c r="I57" s="13"/>
      <c r="J57" s="13"/>
    </row>
    <row r="58" spans="1:15" x14ac:dyDescent="0.25">
      <c r="B58" s="43"/>
      <c r="C58" s="13"/>
      <c r="D58" s="13"/>
      <c r="E58" s="13"/>
      <c r="F58" s="13"/>
      <c r="G58" s="13"/>
      <c r="H58" s="13"/>
      <c r="I58" s="13"/>
      <c r="J58" s="13"/>
    </row>
    <row r="59" spans="1:15" ht="15" customHeight="1" x14ac:dyDescent="0.25">
      <c r="B59" s="43"/>
      <c r="C59" s="13"/>
      <c r="D59" s="13"/>
      <c r="E59" s="13"/>
      <c r="F59" s="13"/>
      <c r="G59" s="13"/>
      <c r="H59" s="13"/>
      <c r="I59" s="13"/>
      <c r="J59" s="13"/>
    </row>
    <row r="60" spans="1:15" x14ac:dyDescent="0.25">
      <c r="B60" s="43"/>
    </row>
    <row r="61" spans="1:15" x14ac:dyDescent="0.25">
      <c r="B61" s="44"/>
    </row>
  </sheetData>
  <sheetProtection formatCells="0" formatColumns="0" formatRows="0"/>
  <mergeCells count="1">
    <mergeCell ref="K25:L2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'Baza kruszyw'!$C$2:$T$2</xm:f>
          </x14:formula1>
          <xm:sqref>C2:H2</xm:sqref>
        </x14:dataValidation>
        <x14:dataValidation type="list" allowBlank="1" showErrorMessage="1">
          <x14:formula1>
            <xm:f>'Baza kruszyw'!$C$2:$T$2</xm:f>
          </x14:formula1>
          <xm:sqref>I2</xm:sqref>
        </x14:dataValidation>
        <x14:dataValidation type="list" allowBlank="1">
          <x14:formula1>
            <xm:f>'Krzywe gran. + zaw. asf. WT-2'!$C$2:$X$2</xm:f>
          </x14:formula1>
          <xm:sqref>M24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2:AK70"/>
  <sheetViews>
    <sheetView zoomScaleNormal="100" workbookViewId="0"/>
  </sheetViews>
  <sheetFormatPr defaultRowHeight="15" x14ac:dyDescent="0.25"/>
  <cols>
    <col min="28" max="29" width="9.140625" style="46"/>
    <col min="30" max="30" width="9.85546875" style="46" bestFit="1" customWidth="1"/>
    <col min="31" max="31" width="10" style="46" bestFit="1" customWidth="1"/>
    <col min="32" max="32" width="10.5703125" style="46" bestFit="1" customWidth="1"/>
    <col min="33" max="33" width="9.28515625" style="46" bestFit="1" customWidth="1"/>
    <col min="34" max="37" width="9.140625" style="46"/>
  </cols>
  <sheetData>
    <row r="2" spans="30:35" x14ac:dyDescent="0.25">
      <c r="AD2" s="51"/>
      <c r="AE2" s="51"/>
      <c r="AF2" s="51"/>
      <c r="AG2" s="51"/>
      <c r="AH2" s="51"/>
      <c r="AI2" s="51"/>
    </row>
    <row r="3" spans="30:35" x14ac:dyDescent="0.25">
      <c r="AD3" s="51"/>
      <c r="AE3" s="51"/>
      <c r="AF3" s="52"/>
      <c r="AG3" s="52"/>
      <c r="AH3" s="51"/>
      <c r="AI3" s="51"/>
    </row>
    <row r="4" spans="30:35" x14ac:dyDescent="0.25">
      <c r="AD4" s="51">
        <f>'Projekt MM'!J27</f>
        <v>45</v>
      </c>
      <c r="AE4" s="52">
        <f>IF((100-'Projekt MM'!L27)&gt;0,(100-'Projekt MM'!L27),-10)</f>
        <v>-10</v>
      </c>
      <c r="AF4" s="48"/>
      <c r="AG4" s="48"/>
      <c r="AH4" s="51"/>
      <c r="AI4" s="51"/>
    </row>
    <row r="5" spans="30:35" x14ac:dyDescent="0.25">
      <c r="AD5" s="51">
        <f>'Projekt MM'!J28</f>
        <v>31.5</v>
      </c>
      <c r="AE5" s="52">
        <f>IF((100-'Projekt MM'!L28)&gt;0,(100-'Projekt MM'!L28),-10)</f>
        <v>-10</v>
      </c>
      <c r="AF5" s="48"/>
      <c r="AG5" s="48"/>
      <c r="AH5" s="51"/>
      <c r="AI5" s="51"/>
    </row>
    <row r="6" spans="30:35" x14ac:dyDescent="0.25">
      <c r="AD6" s="51">
        <f>'Projekt MM'!J29</f>
        <v>22.4</v>
      </c>
      <c r="AE6" s="52">
        <f>IF((100-'Projekt MM'!L29)&gt;0,(100-'Projekt MM'!L29),-10)</f>
        <v>-10</v>
      </c>
      <c r="AF6" s="48"/>
      <c r="AG6" s="48"/>
      <c r="AH6" s="51"/>
      <c r="AI6" s="51"/>
    </row>
    <row r="7" spans="30:35" x14ac:dyDescent="0.25">
      <c r="AD7" s="51">
        <f>'Projekt MM'!J30</f>
        <v>16</v>
      </c>
      <c r="AE7" s="52">
        <f>IF((100-'Projekt MM'!L30)&gt;0,(100-'Projekt MM'!L30),-10)</f>
        <v>-10</v>
      </c>
      <c r="AF7" s="48"/>
      <c r="AG7" s="48"/>
      <c r="AH7" s="51"/>
      <c r="AI7" s="51"/>
    </row>
    <row r="8" spans="30:35" x14ac:dyDescent="0.25">
      <c r="AD8" s="51">
        <f>'Projekt MM'!J31</f>
        <v>11.2</v>
      </c>
      <c r="AE8" s="52">
        <f>IF((100-'Projekt MM'!L31)&gt;0,(100-'Projekt MM'!L31),-10)</f>
        <v>-10</v>
      </c>
      <c r="AF8" s="48"/>
      <c r="AG8" s="48"/>
      <c r="AH8" s="51"/>
      <c r="AI8" s="51"/>
    </row>
    <row r="9" spans="30:35" x14ac:dyDescent="0.25">
      <c r="AD9" s="51">
        <f>'Projekt MM'!J32</f>
        <v>8</v>
      </c>
      <c r="AE9" s="52">
        <f>IF((100-'Projekt MM'!L32)&gt;0,(100-'Projekt MM'!L32),-10)</f>
        <v>6.2000000000000028</v>
      </c>
      <c r="AF9" s="48"/>
      <c r="AG9" s="48"/>
      <c r="AH9" s="51"/>
      <c r="AI9" s="51"/>
    </row>
    <row r="10" spans="30:35" x14ac:dyDescent="0.25">
      <c r="AD10" s="51">
        <f>'Projekt MM'!J33</f>
        <v>5.6</v>
      </c>
      <c r="AE10" s="52">
        <f>IF((100-'Projekt MM'!L33)&gt;0,(100-'Projekt MM'!L33),-10)</f>
        <v>48.2</v>
      </c>
      <c r="AF10" s="48"/>
      <c r="AG10" s="48"/>
      <c r="AH10" s="51"/>
      <c r="AI10" s="51"/>
    </row>
    <row r="11" spans="30:35" x14ac:dyDescent="0.25">
      <c r="AD11" s="51">
        <f>'Projekt MM'!J34</f>
        <v>4</v>
      </c>
      <c r="AE11" s="52">
        <f>IF((100-'Projekt MM'!L34)&gt;0,(100-'Projekt MM'!L34),-10)</f>
        <v>67.7</v>
      </c>
      <c r="AF11" s="48"/>
      <c r="AG11" s="48"/>
      <c r="AH11" s="51"/>
      <c r="AI11" s="51"/>
    </row>
    <row r="12" spans="30:35" x14ac:dyDescent="0.25">
      <c r="AD12" s="51">
        <f>'Projekt MM'!J35</f>
        <v>2</v>
      </c>
      <c r="AE12" s="52">
        <f>IF((100-'Projekt MM'!L35)&gt;0,(100-'Projekt MM'!L35),-10)</f>
        <v>73.8</v>
      </c>
      <c r="AF12" s="48"/>
      <c r="AG12" s="48"/>
      <c r="AH12" s="51"/>
      <c r="AI12" s="51"/>
    </row>
    <row r="13" spans="30:35" x14ac:dyDescent="0.25">
      <c r="AD13" s="51">
        <f>'Projekt MM'!J36</f>
        <v>1</v>
      </c>
      <c r="AE13" s="52">
        <f>IF((100-'Projekt MM'!L36)&gt;0,(100-'Projekt MM'!L36),-10)</f>
        <v>79.400000000000006</v>
      </c>
      <c r="AF13" s="48"/>
      <c r="AG13" s="48"/>
      <c r="AH13" s="51"/>
      <c r="AI13" s="51"/>
    </row>
    <row r="14" spans="30:35" x14ac:dyDescent="0.25">
      <c r="AD14" s="51">
        <f>'Projekt MM'!J37</f>
        <v>0.5</v>
      </c>
      <c r="AE14" s="52">
        <f>IF((100-'Projekt MM'!L37)&gt;0,(100-'Projekt MM'!L37),-10)</f>
        <v>83.5</v>
      </c>
      <c r="AF14" s="48"/>
      <c r="AG14" s="48"/>
      <c r="AH14" s="51"/>
      <c r="AI14" s="51"/>
    </row>
    <row r="15" spans="30:35" x14ac:dyDescent="0.25">
      <c r="AD15" s="51">
        <f>'Projekt MM'!J38</f>
        <v>0.25</v>
      </c>
      <c r="AE15" s="52">
        <f>IF((100-'Projekt MM'!L38)&gt;0,(100-'Projekt MM'!L38),-10)</f>
        <v>86.9</v>
      </c>
      <c r="AF15" s="48"/>
      <c r="AG15" s="48"/>
      <c r="AH15" s="51"/>
      <c r="AI15" s="51"/>
    </row>
    <row r="16" spans="30:35" x14ac:dyDescent="0.25">
      <c r="AD16" s="51">
        <f>'Projekt MM'!J39</f>
        <v>0.125</v>
      </c>
      <c r="AE16" s="52">
        <f>IF((100-'Projekt MM'!L39)&gt;0,(100-'Projekt MM'!L39),-10)</f>
        <v>89.4</v>
      </c>
      <c r="AF16" s="48"/>
      <c r="AG16" s="48"/>
      <c r="AH16" s="51"/>
      <c r="AI16" s="51"/>
    </row>
    <row r="17" spans="30:35" x14ac:dyDescent="0.25">
      <c r="AD17" s="51">
        <f>'Projekt MM'!J40</f>
        <v>6.3E-2</v>
      </c>
      <c r="AE17" s="52">
        <f>IF((100-'Projekt MM'!L40)&gt;0,(100-'Projekt MM'!L40),-10)</f>
        <v>91.9</v>
      </c>
      <c r="AF17" s="48"/>
      <c r="AG17" s="48"/>
      <c r="AH17" s="51"/>
      <c r="AI17" s="51"/>
    </row>
    <row r="18" spans="30:35" x14ac:dyDescent="0.25">
      <c r="AD18" s="51"/>
      <c r="AE18" s="52"/>
      <c r="AF18" s="51"/>
      <c r="AG18" s="51"/>
      <c r="AH18" s="51"/>
      <c r="AI18" s="51"/>
    </row>
    <row r="19" spans="30:35" x14ac:dyDescent="0.25">
      <c r="AD19" s="51">
        <f>IF(AE19="-",AE19*1,AD4)</f>
        <v>45</v>
      </c>
      <c r="AE19" s="52">
        <f>IF('Projekt MM'!M27=100,101,'Projekt MM'!M27)</f>
        <v>101</v>
      </c>
      <c r="AF19" s="49">
        <f>IF(AG19="-",AG19*1,AD4)</f>
        <v>45</v>
      </c>
      <c r="AG19" s="52">
        <f>IF('Projekt MM'!N27=100,101,'Projekt MM'!N27)</f>
        <v>101</v>
      </c>
      <c r="AH19" s="51"/>
      <c r="AI19" s="51"/>
    </row>
    <row r="20" spans="30:35" x14ac:dyDescent="0.25">
      <c r="AD20" s="51">
        <f t="shared" ref="AD20:AD32" si="0">IF(AE20="-",AE20*1,AD5)</f>
        <v>31.5</v>
      </c>
      <c r="AE20" s="52">
        <f>IF('Projekt MM'!M28=100,101,'Projekt MM'!M28)</f>
        <v>101</v>
      </c>
      <c r="AF20" s="49">
        <f t="shared" ref="AF20:AF32" si="1">IF(AG20="-",AG20*1,AD5)</f>
        <v>31.5</v>
      </c>
      <c r="AG20" s="52">
        <f>IF('Projekt MM'!N28=100,101,'Projekt MM'!N28)</f>
        <v>101</v>
      </c>
      <c r="AH20" s="49"/>
      <c r="AI20" s="49"/>
    </row>
    <row r="21" spans="30:35" x14ac:dyDescent="0.25">
      <c r="AD21" s="51">
        <f t="shared" si="0"/>
        <v>22.4</v>
      </c>
      <c r="AE21" s="52">
        <f>IF('Projekt MM'!M29=100,101,'Projekt MM'!M29)</f>
        <v>101</v>
      </c>
      <c r="AF21" s="49">
        <f t="shared" si="1"/>
        <v>22.4</v>
      </c>
      <c r="AG21" s="52">
        <f>IF('Projekt MM'!N29=100,101,'Projekt MM'!N29)</f>
        <v>101</v>
      </c>
      <c r="AH21" s="49"/>
      <c r="AI21" s="49"/>
    </row>
    <row r="22" spans="30:35" x14ac:dyDescent="0.25">
      <c r="AD22" s="51">
        <f t="shared" si="0"/>
        <v>16</v>
      </c>
      <c r="AE22" s="52">
        <f>IF('Projekt MM'!M30=100,101,'Projekt MM'!M30)</f>
        <v>101</v>
      </c>
      <c r="AF22" s="49">
        <f t="shared" si="1"/>
        <v>16</v>
      </c>
      <c r="AG22" s="52">
        <f>IF('Projekt MM'!N30=100,101,'Projekt MM'!N30)</f>
        <v>101</v>
      </c>
      <c r="AH22" s="48"/>
      <c r="AI22" s="48"/>
    </row>
    <row r="23" spans="30:35" x14ac:dyDescent="0.25">
      <c r="AD23" s="51">
        <f t="shared" si="0"/>
        <v>11.2</v>
      </c>
      <c r="AE23" s="52">
        <f>IF('Projekt MM'!M31=100,101,'Projekt MM'!M31)</f>
        <v>101</v>
      </c>
      <c r="AF23" s="49">
        <f t="shared" si="1"/>
        <v>11.2</v>
      </c>
      <c r="AG23" s="52">
        <f>IF('Projekt MM'!N31=100,101,'Projekt MM'!N31)</f>
        <v>101</v>
      </c>
      <c r="AH23" s="48"/>
      <c r="AI23" s="48"/>
    </row>
    <row r="24" spans="30:35" x14ac:dyDescent="0.25">
      <c r="AD24" s="51">
        <f t="shared" si="0"/>
        <v>8</v>
      </c>
      <c r="AE24" s="52">
        <f>IF('Projekt MM'!M32=100,101,'Projekt MM'!M32)</f>
        <v>90</v>
      </c>
      <c r="AF24" s="49">
        <f t="shared" si="1"/>
        <v>8</v>
      </c>
      <c r="AG24" s="52">
        <f>IF('Projekt MM'!N32=100,101,'Projekt MM'!N32)</f>
        <v>101</v>
      </c>
      <c r="AH24" s="48"/>
      <c r="AI24" s="48"/>
    </row>
    <row r="25" spans="30:35" x14ac:dyDescent="0.25">
      <c r="AD25" s="51">
        <f t="shared" si="0"/>
        <v>5.6</v>
      </c>
      <c r="AE25" s="52">
        <f>IF('Projekt MM'!M33=100,101,'Projekt MM'!M33)</f>
        <v>35</v>
      </c>
      <c r="AF25" s="49">
        <f t="shared" si="1"/>
        <v>5.6</v>
      </c>
      <c r="AG25" s="52">
        <f>IF('Projekt MM'!N33=100,101,'Projekt MM'!N33)</f>
        <v>60</v>
      </c>
      <c r="AH25" s="48"/>
      <c r="AI25" s="48"/>
    </row>
    <row r="26" spans="30:35" x14ac:dyDescent="0.25">
      <c r="AD26" s="51" t="e">
        <f t="shared" si="0"/>
        <v>#VALUE!</v>
      </c>
      <c r="AE26" s="52" t="str">
        <f>IF('Projekt MM'!M34=100,101,'Projekt MM'!M34)</f>
        <v>-</v>
      </c>
      <c r="AF26" s="49" t="e">
        <f t="shared" si="1"/>
        <v>#VALUE!</v>
      </c>
      <c r="AG26" s="52" t="str">
        <f>IF('Projekt MM'!N34=100,101,'Projekt MM'!N34)</f>
        <v>-</v>
      </c>
      <c r="AH26" s="53"/>
      <c r="AI26" s="53"/>
    </row>
    <row r="27" spans="30:35" x14ac:dyDescent="0.25">
      <c r="AD27" s="51">
        <f t="shared" si="0"/>
        <v>2</v>
      </c>
      <c r="AE27" s="52">
        <f>IF('Projekt MM'!M35=100,101,'Projekt MM'!M35)</f>
        <v>20</v>
      </c>
      <c r="AF27" s="49">
        <f t="shared" si="1"/>
        <v>2</v>
      </c>
      <c r="AG27" s="52">
        <f>IF('Projekt MM'!N35=100,101,'Projekt MM'!N35)</f>
        <v>30</v>
      </c>
      <c r="AH27" s="53"/>
      <c r="AI27" s="53"/>
    </row>
    <row r="28" spans="30:35" x14ac:dyDescent="0.25">
      <c r="AD28" s="51" t="e">
        <f t="shared" si="0"/>
        <v>#VALUE!</v>
      </c>
      <c r="AE28" s="52" t="str">
        <f>IF('Projekt MM'!M36=100,101,'Projekt MM'!M36)</f>
        <v>-</v>
      </c>
      <c r="AF28" s="49" t="e">
        <f t="shared" si="1"/>
        <v>#VALUE!</v>
      </c>
      <c r="AG28" s="52" t="str">
        <f>IF('Projekt MM'!N36=100,101,'Projekt MM'!N36)</f>
        <v>-</v>
      </c>
      <c r="AH28" s="53"/>
      <c r="AI28" s="53"/>
    </row>
    <row r="29" spans="30:35" x14ac:dyDescent="0.25">
      <c r="AD29" s="51" t="e">
        <f t="shared" si="0"/>
        <v>#VALUE!</v>
      </c>
      <c r="AE29" s="52" t="str">
        <f>IF('Projekt MM'!M37=100,101,'Projekt MM'!M37)</f>
        <v>-</v>
      </c>
      <c r="AF29" s="49" t="e">
        <f t="shared" si="1"/>
        <v>#VALUE!</v>
      </c>
      <c r="AG29" s="52" t="str">
        <f>IF('Projekt MM'!N37=100,101,'Projekt MM'!N37)</f>
        <v>-</v>
      </c>
      <c r="AH29" s="53"/>
      <c r="AI29" s="53"/>
    </row>
    <row r="30" spans="30:35" x14ac:dyDescent="0.25">
      <c r="AD30" s="51" t="e">
        <f t="shared" si="0"/>
        <v>#VALUE!</v>
      </c>
      <c r="AE30" s="52" t="str">
        <f>IF('Projekt MM'!M38=100,101,'Projekt MM'!M38)</f>
        <v>-</v>
      </c>
      <c r="AF30" s="49" t="e">
        <f t="shared" si="1"/>
        <v>#VALUE!</v>
      </c>
      <c r="AG30" s="52" t="str">
        <f>IF('Projekt MM'!N38=100,101,'Projekt MM'!N38)</f>
        <v>-</v>
      </c>
      <c r="AH30" s="53"/>
      <c r="AI30" s="53"/>
    </row>
    <row r="31" spans="30:35" x14ac:dyDescent="0.25">
      <c r="AD31" s="51">
        <f t="shared" si="0"/>
        <v>0.125</v>
      </c>
      <c r="AE31" s="52">
        <f>IF('Projekt MM'!M39=100,101,'Projekt MM'!M39)</f>
        <v>9</v>
      </c>
      <c r="AF31" s="49">
        <f t="shared" si="1"/>
        <v>0.125</v>
      </c>
      <c r="AG31" s="52">
        <f>IF('Projekt MM'!N39=100,101,'Projekt MM'!N39)</f>
        <v>17</v>
      </c>
      <c r="AH31" s="53"/>
      <c r="AI31" s="53"/>
    </row>
    <row r="32" spans="30:35" x14ac:dyDescent="0.25">
      <c r="AD32" s="51">
        <f t="shared" si="0"/>
        <v>6.3E-2</v>
      </c>
      <c r="AE32" s="52">
        <f>IF('Projekt MM'!M40=100,101,'Projekt MM'!M40)</f>
        <v>7</v>
      </c>
      <c r="AF32" s="49">
        <f t="shared" si="1"/>
        <v>6.3E-2</v>
      </c>
      <c r="AG32" s="52">
        <f>IF('Projekt MM'!N40=100,101,'Projekt MM'!N40)</f>
        <v>12</v>
      </c>
      <c r="AH32" s="53"/>
      <c r="AI32" s="53"/>
    </row>
    <row r="33" spans="30:35" x14ac:dyDescent="0.25">
      <c r="AD33" s="49"/>
      <c r="AE33" s="52"/>
      <c r="AF33" s="52"/>
      <c r="AG33" s="53"/>
      <c r="AH33" s="53"/>
      <c r="AI33" s="53"/>
    </row>
    <row r="34" spans="30:35" x14ac:dyDescent="0.25">
      <c r="AD34" s="47"/>
      <c r="AE34" s="50"/>
      <c r="AF34" s="50"/>
      <c r="AG34" s="55"/>
      <c r="AH34" s="55"/>
      <c r="AI34" s="21"/>
    </row>
    <row r="35" spans="30:35" x14ac:dyDescent="0.25">
      <c r="AD35" s="47"/>
      <c r="AE35" s="50"/>
      <c r="AF35" s="50"/>
      <c r="AG35" s="55"/>
      <c r="AH35" s="55"/>
      <c r="AI35" s="21"/>
    </row>
    <row r="36" spans="30:35" x14ac:dyDescent="0.25">
      <c r="AD36" s="47"/>
      <c r="AE36" s="50"/>
      <c r="AF36" s="50"/>
      <c r="AG36" s="55"/>
      <c r="AH36" s="55"/>
      <c r="AI36" s="21"/>
    </row>
    <row r="37" spans="30:35" x14ac:dyDescent="0.25">
      <c r="AD37" s="47"/>
      <c r="AE37" s="50"/>
      <c r="AF37" s="50"/>
      <c r="AG37" s="55"/>
      <c r="AH37" s="55"/>
      <c r="AI37" s="21"/>
    </row>
    <row r="38" spans="30:35" x14ac:dyDescent="0.25">
      <c r="AD38" s="47"/>
      <c r="AE38" s="50"/>
      <c r="AF38" s="50"/>
      <c r="AG38" s="55"/>
      <c r="AH38" s="55"/>
      <c r="AI38" s="21"/>
    </row>
    <row r="39" spans="30:35" x14ac:dyDescent="0.25">
      <c r="AD39" s="47"/>
      <c r="AE39" s="50"/>
      <c r="AF39" s="50"/>
      <c r="AG39" s="55"/>
      <c r="AH39" s="55"/>
      <c r="AI39" s="21"/>
    </row>
    <row r="40" spans="30:35" x14ac:dyDescent="0.25">
      <c r="AD40" s="47"/>
      <c r="AE40" s="50"/>
      <c r="AF40" s="50"/>
      <c r="AG40" s="21"/>
      <c r="AH40" s="21"/>
      <c r="AI40" s="21"/>
    </row>
    <row r="41" spans="30:35" x14ac:dyDescent="0.25">
      <c r="AD41" s="47"/>
      <c r="AE41" s="45"/>
      <c r="AF41" s="13"/>
      <c r="AG41" s="14"/>
      <c r="AH41" s="14"/>
      <c r="AI41" s="14"/>
    </row>
    <row r="42" spans="30:35" x14ac:dyDescent="0.25">
      <c r="AD42" s="47"/>
      <c r="AE42" s="13"/>
      <c r="AF42" s="13"/>
      <c r="AG42" s="13"/>
    </row>
    <row r="43" spans="30:35" x14ac:dyDescent="0.25">
      <c r="AD43" s="47"/>
    </row>
    <row r="52" spans="9:18" x14ac:dyDescent="0.25">
      <c r="I52" s="43"/>
    </row>
    <row r="53" spans="9:18" x14ac:dyDescent="0.25">
      <c r="I53" s="43"/>
    </row>
    <row r="54" spans="9:18" x14ac:dyDescent="0.25">
      <c r="I54" s="43"/>
    </row>
    <row r="55" spans="9:18" x14ac:dyDescent="0.25">
      <c r="I55" s="43"/>
    </row>
    <row r="56" spans="9:18" x14ac:dyDescent="0.25">
      <c r="I56" s="43"/>
      <c r="R56" s="43"/>
    </row>
    <row r="57" spans="9:18" x14ac:dyDescent="0.25">
      <c r="I57" s="43"/>
      <c r="R57" s="43"/>
    </row>
    <row r="58" spans="9:18" x14ac:dyDescent="0.25">
      <c r="I58" s="43"/>
      <c r="R58" s="43"/>
    </row>
    <row r="59" spans="9:18" x14ac:dyDescent="0.25">
      <c r="I59" s="43"/>
      <c r="R59" s="43"/>
    </row>
    <row r="60" spans="9:18" x14ac:dyDescent="0.25">
      <c r="I60" s="43"/>
      <c r="R60" s="43"/>
    </row>
    <row r="61" spans="9:18" x14ac:dyDescent="0.25">
      <c r="I61" s="43"/>
      <c r="R61" s="43"/>
    </row>
    <row r="62" spans="9:18" x14ac:dyDescent="0.25">
      <c r="I62" s="43"/>
      <c r="R62" s="43"/>
    </row>
    <row r="63" spans="9:18" x14ac:dyDescent="0.25">
      <c r="I63" s="43"/>
      <c r="R63" s="43"/>
    </row>
    <row r="64" spans="9:18" x14ac:dyDescent="0.25">
      <c r="I64" s="43"/>
      <c r="R64" s="43"/>
    </row>
    <row r="65" spans="9:18" x14ac:dyDescent="0.25">
      <c r="I65" s="43"/>
      <c r="R65" s="43"/>
    </row>
    <row r="66" spans="9:18" x14ac:dyDescent="0.25">
      <c r="I66" s="44"/>
      <c r="R66" s="43"/>
    </row>
    <row r="67" spans="9:18" x14ac:dyDescent="0.25">
      <c r="R67" s="43"/>
    </row>
    <row r="68" spans="9:18" x14ac:dyDescent="0.25">
      <c r="R68" s="43"/>
    </row>
    <row r="69" spans="9:18" x14ac:dyDescent="0.25">
      <c r="R69" s="43"/>
    </row>
    <row r="70" spans="9:18" x14ac:dyDescent="0.25">
      <c r="R70" s="44"/>
    </row>
  </sheetData>
  <sheetProtection algorithmName="SHA-512" hashValue="y7FU/FrTZ80RHJphgiswSvVl6o2NBNHkZzc+/MUagn2r2boNwubVMpQDwDK+WQ04khaLfm14RJVKsy7k5YQHOA==" saltValue="CLnl2L9xF+j52qHipmlC8Q==" spinCount="100000" sheet="1" objects="1" scenarios="1" selectLockedCells="1" selectUnlockedCells="1"/>
  <printOptions horizontalCentered="1"/>
  <pageMargins left="0.70866141732283472" right="0.70866141732283472" top="0.74803149606299213" bottom="0.74803149606299213" header="0.31496062992125984" footer="0.31496062992125984"/>
  <pageSetup paperSize="9" scale="6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9"/>
  <sheetViews>
    <sheetView workbookViewId="0">
      <selection activeCell="A2" sqref="A2"/>
    </sheetView>
  </sheetViews>
  <sheetFormatPr defaultRowHeight="14.25" x14ac:dyDescent="0.2"/>
  <cols>
    <col min="1" max="1" width="9.140625" style="2"/>
    <col min="2" max="2" width="14.7109375" style="2" customWidth="1"/>
    <col min="3" max="19" width="12.7109375" style="2" customWidth="1"/>
    <col min="20" max="20" width="2.7109375" style="2" customWidth="1"/>
    <col min="21" max="16384" width="9.140625" style="2"/>
  </cols>
  <sheetData>
    <row r="1" spans="2:23" x14ac:dyDescent="0.2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2:23" ht="12.75" customHeight="1" x14ac:dyDescent="0.25">
      <c r="B2" s="1"/>
      <c r="C2" s="23" t="s">
        <v>21</v>
      </c>
      <c r="D2" s="23" t="s">
        <v>22</v>
      </c>
      <c r="E2" s="23" t="s">
        <v>23</v>
      </c>
      <c r="F2" s="23" t="s">
        <v>24</v>
      </c>
      <c r="G2" s="23" t="s">
        <v>25</v>
      </c>
      <c r="H2" s="23" t="s">
        <v>26</v>
      </c>
      <c r="I2" s="23" t="s">
        <v>27</v>
      </c>
      <c r="J2" s="23" t="s">
        <v>28</v>
      </c>
      <c r="K2" s="23" t="s">
        <v>29</v>
      </c>
      <c r="L2" s="23" t="s">
        <v>30</v>
      </c>
      <c r="M2" s="23" t="s">
        <v>31</v>
      </c>
      <c r="N2" s="23" t="s">
        <v>32</v>
      </c>
      <c r="O2" s="23" t="s">
        <v>33</v>
      </c>
      <c r="P2" s="23" t="s">
        <v>34</v>
      </c>
      <c r="Q2" s="23" t="s">
        <v>35</v>
      </c>
      <c r="R2" s="23" t="s">
        <v>36</v>
      </c>
      <c r="S2" s="23" t="s">
        <v>37</v>
      </c>
      <c r="T2" s="24" t="s">
        <v>43</v>
      </c>
      <c r="U2" s="1"/>
      <c r="V2" s="1"/>
      <c r="W2" s="1"/>
    </row>
    <row r="3" spans="2:23" ht="50.1" customHeight="1" x14ac:dyDescent="0.2">
      <c r="B3" s="27" t="s">
        <v>45</v>
      </c>
      <c r="C3" s="6" t="s">
        <v>1</v>
      </c>
      <c r="D3" s="6" t="s">
        <v>2</v>
      </c>
      <c r="E3" s="6" t="s">
        <v>72</v>
      </c>
      <c r="F3" s="6" t="s">
        <v>73</v>
      </c>
      <c r="G3" s="6" t="s">
        <v>74</v>
      </c>
      <c r="H3" s="6" t="s">
        <v>3</v>
      </c>
      <c r="I3" s="6" t="s">
        <v>75</v>
      </c>
      <c r="J3" s="6" t="s">
        <v>4</v>
      </c>
      <c r="K3" s="6" t="s">
        <v>76</v>
      </c>
      <c r="L3" s="6" t="s">
        <v>77</v>
      </c>
      <c r="M3" s="6" t="s">
        <v>78</v>
      </c>
      <c r="N3" s="6" t="s">
        <v>79</v>
      </c>
      <c r="O3" s="6" t="s">
        <v>80</v>
      </c>
      <c r="P3" s="6" t="s">
        <v>5</v>
      </c>
      <c r="Q3" s="6" t="s">
        <v>81</v>
      </c>
      <c r="R3" s="6" t="s">
        <v>82</v>
      </c>
      <c r="S3" s="6" t="s">
        <v>83</v>
      </c>
      <c r="T3" s="25" t="s">
        <v>11</v>
      </c>
      <c r="U3" s="1"/>
      <c r="V3" s="1"/>
      <c r="W3" s="1"/>
    </row>
    <row r="4" spans="2:23" x14ac:dyDescent="0.2">
      <c r="B4" s="3">
        <v>45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25">
        <v>0</v>
      </c>
      <c r="U4" s="1"/>
      <c r="V4" s="1"/>
      <c r="W4" s="1"/>
    </row>
    <row r="5" spans="2:23" x14ac:dyDescent="0.2">
      <c r="B5" s="3">
        <v>31.5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6.8</v>
      </c>
      <c r="S5" s="4">
        <v>7.3</v>
      </c>
      <c r="T5" s="25">
        <v>0</v>
      </c>
      <c r="U5" s="1"/>
      <c r="V5" s="1"/>
      <c r="W5" s="1"/>
    </row>
    <row r="6" spans="2:23" x14ac:dyDescent="0.2">
      <c r="B6" s="3">
        <v>22.4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0.2</v>
      </c>
      <c r="O6" s="4">
        <v>3.4</v>
      </c>
      <c r="P6" s="4">
        <v>7.9</v>
      </c>
      <c r="Q6" s="4">
        <v>5.0999999999999996</v>
      </c>
      <c r="R6" s="4">
        <v>44</v>
      </c>
      <c r="S6" s="4">
        <v>57.2</v>
      </c>
      <c r="T6" s="25">
        <v>0</v>
      </c>
      <c r="U6" s="1"/>
      <c r="V6" s="1"/>
      <c r="W6" s="1"/>
    </row>
    <row r="7" spans="2:23" x14ac:dyDescent="0.2">
      <c r="B7" s="3">
        <v>16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</v>
      </c>
      <c r="K7" s="4">
        <v>0</v>
      </c>
      <c r="L7" s="4">
        <v>0</v>
      </c>
      <c r="M7" s="4">
        <v>1.1000000000000001</v>
      </c>
      <c r="N7" s="4">
        <v>46</v>
      </c>
      <c r="O7" s="4">
        <v>15.4</v>
      </c>
      <c r="P7" s="4">
        <v>51.2</v>
      </c>
      <c r="Q7" s="4">
        <v>45.2</v>
      </c>
      <c r="R7" s="4">
        <v>29.2</v>
      </c>
      <c r="S7" s="4">
        <v>32.799999999999997</v>
      </c>
      <c r="T7" s="25">
        <v>0</v>
      </c>
      <c r="U7" s="1"/>
      <c r="V7" s="1"/>
      <c r="W7" s="1"/>
    </row>
    <row r="8" spans="2:23" x14ac:dyDescent="0.2">
      <c r="B8" s="3">
        <v>11.2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11.5</v>
      </c>
      <c r="K8" s="4">
        <v>5.4</v>
      </c>
      <c r="L8" s="4">
        <v>0</v>
      </c>
      <c r="M8" s="4">
        <v>20.9</v>
      </c>
      <c r="N8" s="4">
        <v>49</v>
      </c>
      <c r="O8" s="4">
        <v>55.3</v>
      </c>
      <c r="P8" s="4">
        <v>31.7</v>
      </c>
      <c r="Q8" s="4">
        <v>42.9</v>
      </c>
      <c r="R8" s="4">
        <v>16</v>
      </c>
      <c r="S8" s="4">
        <v>2.5</v>
      </c>
      <c r="T8" s="25">
        <v>0</v>
      </c>
      <c r="U8" s="1"/>
      <c r="V8" s="1"/>
      <c r="W8" s="1"/>
    </row>
    <row r="9" spans="2:23" x14ac:dyDescent="0.2">
      <c r="B9" s="3">
        <v>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0.3</v>
      </c>
      <c r="J9" s="4">
        <v>27.5</v>
      </c>
      <c r="K9" s="4">
        <v>69</v>
      </c>
      <c r="L9" s="4">
        <v>16.2</v>
      </c>
      <c r="M9" s="4">
        <v>50.3</v>
      </c>
      <c r="N9" s="4">
        <v>4.5</v>
      </c>
      <c r="O9" s="4">
        <v>21.2</v>
      </c>
      <c r="P9" s="4">
        <v>7.6</v>
      </c>
      <c r="Q9" s="4">
        <v>5.2</v>
      </c>
      <c r="R9" s="4">
        <v>3.4</v>
      </c>
      <c r="S9" s="4">
        <v>0.2</v>
      </c>
      <c r="T9" s="25">
        <v>0</v>
      </c>
      <c r="U9" s="1"/>
      <c r="V9" s="1"/>
      <c r="W9" s="1"/>
    </row>
    <row r="10" spans="2:23" x14ac:dyDescent="0.2">
      <c r="B10" s="3">
        <v>5.6</v>
      </c>
      <c r="C10" s="4">
        <v>0</v>
      </c>
      <c r="D10" s="4">
        <v>0</v>
      </c>
      <c r="E10" s="4">
        <v>0</v>
      </c>
      <c r="F10" s="4">
        <v>0</v>
      </c>
      <c r="G10" s="4">
        <v>0.6</v>
      </c>
      <c r="H10" s="4">
        <v>4.3</v>
      </c>
      <c r="I10" s="4">
        <v>54</v>
      </c>
      <c r="J10" s="4">
        <v>36.1</v>
      </c>
      <c r="K10" s="4">
        <v>24.3</v>
      </c>
      <c r="L10" s="4">
        <v>65.2</v>
      </c>
      <c r="M10" s="4">
        <v>26.4</v>
      </c>
      <c r="N10" s="4">
        <v>0.2</v>
      </c>
      <c r="O10" s="4">
        <v>4.7</v>
      </c>
      <c r="P10" s="4">
        <v>1.2</v>
      </c>
      <c r="Q10" s="4">
        <v>0.6</v>
      </c>
      <c r="R10" s="4">
        <v>0</v>
      </c>
      <c r="S10" s="4">
        <v>0</v>
      </c>
      <c r="T10" s="25">
        <v>0</v>
      </c>
      <c r="U10" s="1"/>
      <c r="V10" s="1"/>
      <c r="W10" s="1"/>
    </row>
    <row r="11" spans="2:23" x14ac:dyDescent="0.2">
      <c r="B11" s="3">
        <v>4</v>
      </c>
      <c r="C11" s="4">
        <v>0</v>
      </c>
      <c r="D11" s="4">
        <v>0</v>
      </c>
      <c r="E11" s="4">
        <v>0</v>
      </c>
      <c r="F11" s="4">
        <v>0</v>
      </c>
      <c r="G11" s="4">
        <v>7.4</v>
      </c>
      <c r="H11" s="4">
        <v>53</v>
      </c>
      <c r="I11" s="4">
        <v>42.5</v>
      </c>
      <c r="J11" s="4">
        <v>21.2</v>
      </c>
      <c r="K11" s="4">
        <v>1</v>
      </c>
      <c r="L11" s="4">
        <v>15.2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25">
        <v>0</v>
      </c>
      <c r="U11" s="1"/>
      <c r="V11" s="1"/>
      <c r="W11" s="1"/>
    </row>
    <row r="12" spans="2:23" x14ac:dyDescent="0.2">
      <c r="B12" s="3">
        <v>2</v>
      </c>
      <c r="C12" s="4">
        <v>0</v>
      </c>
      <c r="D12" s="4">
        <v>0.2</v>
      </c>
      <c r="E12" s="4">
        <v>1.3</v>
      </c>
      <c r="F12" s="4">
        <v>19.8</v>
      </c>
      <c r="G12" s="4">
        <v>30.1</v>
      </c>
      <c r="H12" s="4">
        <v>38.5</v>
      </c>
      <c r="I12" s="4">
        <v>2.8</v>
      </c>
      <c r="J12" s="4">
        <v>1.5</v>
      </c>
      <c r="K12" s="4">
        <v>0</v>
      </c>
      <c r="L12" s="4">
        <v>3.2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25">
        <v>0</v>
      </c>
      <c r="U12" s="1"/>
      <c r="V12" s="1"/>
      <c r="W12" s="1"/>
    </row>
    <row r="13" spans="2:23" x14ac:dyDescent="0.2">
      <c r="B13" s="3">
        <v>1</v>
      </c>
      <c r="C13" s="4">
        <v>0</v>
      </c>
      <c r="D13" s="4">
        <v>0.9</v>
      </c>
      <c r="E13" s="4">
        <v>15.4</v>
      </c>
      <c r="F13" s="4">
        <v>27.8</v>
      </c>
      <c r="G13" s="4">
        <v>25.4</v>
      </c>
      <c r="H13" s="4">
        <v>2.2999999999999998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25">
        <v>0</v>
      </c>
      <c r="U13" s="1"/>
      <c r="V13" s="1"/>
      <c r="W13" s="1"/>
    </row>
    <row r="14" spans="2:23" x14ac:dyDescent="0.2">
      <c r="B14" s="3">
        <v>0.5</v>
      </c>
      <c r="C14" s="4">
        <v>0</v>
      </c>
      <c r="D14" s="4">
        <v>1</v>
      </c>
      <c r="E14" s="4">
        <v>18.3</v>
      </c>
      <c r="F14" s="4">
        <v>20.6</v>
      </c>
      <c r="G14" s="4">
        <v>9.6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25">
        <v>0</v>
      </c>
      <c r="U14" s="1"/>
      <c r="V14" s="1"/>
      <c r="W14" s="1"/>
    </row>
    <row r="15" spans="2:23" x14ac:dyDescent="0.2">
      <c r="B15" s="3">
        <v>0.25</v>
      </c>
      <c r="C15" s="4">
        <v>0</v>
      </c>
      <c r="D15" s="4">
        <v>2.2999999999999998</v>
      </c>
      <c r="E15" s="4">
        <v>49.8</v>
      </c>
      <c r="F15" s="4">
        <v>17.2</v>
      </c>
      <c r="G15" s="4">
        <v>14.8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25">
        <v>0</v>
      </c>
      <c r="U15" s="1"/>
      <c r="V15" s="1"/>
      <c r="W15" s="1"/>
    </row>
    <row r="16" spans="2:23" x14ac:dyDescent="0.2">
      <c r="B16" s="3">
        <v>0.125</v>
      </c>
      <c r="C16" s="4">
        <v>4.9000000000000004</v>
      </c>
      <c r="D16" s="4">
        <v>1.8</v>
      </c>
      <c r="E16" s="4">
        <v>7.2</v>
      </c>
      <c r="F16" s="4">
        <v>10</v>
      </c>
      <c r="G16" s="4">
        <v>3.7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25">
        <v>0</v>
      </c>
      <c r="U16" s="1"/>
      <c r="V16" s="1"/>
      <c r="W16" s="1"/>
    </row>
    <row r="17" spans="2:23" x14ac:dyDescent="0.2">
      <c r="B17" s="3">
        <v>6.3E-2</v>
      </c>
      <c r="C17" s="4">
        <v>19.7</v>
      </c>
      <c r="D17" s="4">
        <v>12.3</v>
      </c>
      <c r="E17" s="4">
        <v>7.5</v>
      </c>
      <c r="F17" s="4">
        <v>2.8</v>
      </c>
      <c r="G17" s="4">
        <v>6.5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25">
        <v>0</v>
      </c>
      <c r="U17" s="1"/>
      <c r="V17" s="1"/>
      <c r="W17" s="1"/>
    </row>
    <row r="18" spans="2:23" x14ac:dyDescent="0.2">
      <c r="B18" s="5" t="s">
        <v>0</v>
      </c>
      <c r="C18" s="4">
        <v>75.400000000000006</v>
      </c>
      <c r="D18" s="4">
        <v>81.5</v>
      </c>
      <c r="E18" s="4">
        <v>0.5</v>
      </c>
      <c r="F18" s="4">
        <v>1.8</v>
      </c>
      <c r="G18" s="4">
        <v>1.9</v>
      </c>
      <c r="H18" s="4">
        <v>1.9</v>
      </c>
      <c r="I18" s="4">
        <v>0.4</v>
      </c>
      <c r="J18" s="4">
        <v>1.2</v>
      </c>
      <c r="K18" s="4">
        <v>0.3</v>
      </c>
      <c r="L18" s="4">
        <v>0.2</v>
      </c>
      <c r="M18" s="4">
        <v>1.3</v>
      </c>
      <c r="N18" s="4">
        <v>0.1</v>
      </c>
      <c r="O18" s="4">
        <v>0</v>
      </c>
      <c r="P18" s="4">
        <v>0.4</v>
      </c>
      <c r="Q18" s="4">
        <v>1</v>
      </c>
      <c r="R18" s="4">
        <v>0.6</v>
      </c>
      <c r="S18" s="4">
        <v>0</v>
      </c>
      <c r="T18" s="25">
        <v>0</v>
      </c>
      <c r="U18" s="1"/>
      <c r="V18" s="1"/>
      <c r="W18" s="1"/>
    </row>
    <row r="19" spans="2:23" x14ac:dyDescent="0.2">
      <c r="B19" s="5" t="s">
        <v>12</v>
      </c>
      <c r="C19" s="18">
        <f>SUM(C4:C18)</f>
        <v>100</v>
      </c>
      <c r="D19" s="18">
        <f>SUM(D4:D18)</f>
        <v>100</v>
      </c>
      <c r="E19" s="18">
        <f t="shared" ref="E19:S19" si="0">SUM(E4:E18)</f>
        <v>100</v>
      </c>
      <c r="F19" s="18">
        <f t="shared" si="0"/>
        <v>100</v>
      </c>
      <c r="G19" s="18">
        <f t="shared" si="0"/>
        <v>100</v>
      </c>
      <c r="H19" s="18">
        <f t="shared" si="0"/>
        <v>100</v>
      </c>
      <c r="I19" s="18">
        <f t="shared" si="0"/>
        <v>100</v>
      </c>
      <c r="J19" s="18">
        <f t="shared" si="0"/>
        <v>100</v>
      </c>
      <c r="K19" s="18">
        <f t="shared" si="0"/>
        <v>100</v>
      </c>
      <c r="L19" s="18">
        <f t="shared" si="0"/>
        <v>100.00000000000001</v>
      </c>
      <c r="M19" s="18">
        <f t="shared" si="0"/>
        <v>99.999999999999986</v>
      </c>
      <c r="N19" s="18">
        <f t="shared" si="0"/>
        <v>100</v>
      </c>
      <c r="O19" s="18">
        <f t="shared" si="0"/>
        <v>100</v>
      </c>
      <c r="P19" s="18">
        <f t="shared" si="0"/>
        <v>100</v>
      </c>
      <c r="Q19" s="18">
        <f t="shared" si="0"/>
        <v>100</v>
      </c>
      <c r="R19" s="18">
        <f t="shared" si="0"/>
        <v>100</v>
      </c>
      <c r="S19" s="18">
        <f t="shared" si="0"/>
        <v>100</v>
      </c>
      <c r="T19" s="25">
        <v>0</v>
      </c>
      <c r="U19" s="1"/>
      <c r="V19" s="1"/>
      <c r="W19" s="1"/>
    </row>
    <row r="20" spans="2:23" x14ac:dyDescent="0.2">
      <c r="B20" s="19" t="s">
        <v>13</v>
      </c>
      <c r="C20" s="20">
        <v>2.75</v>
      </c>
      <c r="D20" s="20">
        <v>2.75</v>
      </c>
      <c r="E20" s="20">
        <v>2.65</v>
      </c>
      <c r="F20" s="20">
        <v>2.6509999999999998</v>
      </c>
      <c r="G20" s="20">
        <v>2.65</v>
      </c>
      <c r="H20" s="20">
        <v>2.9940000000000002</v>
      </c>
      <c r="I20" s="20">
        <v>3</v>
      </c>
      <c r="J20" s="20">
        <v>3</v>
      </c>
      <c r="K20" s="20">
        <v>3</v>
      </c>
      <c r="L20" s="20">
        <v>2.98</v>
      </c>
      <c r="M20" s="20">
        <v>3</v>
      </c>
      <c r="N20" s="20">
        <v>3</v>
      </c>
      <c r="O20" s="20">
        <v>3</v>
      </c>
      <c r="P20" s="20">
        <v>3</v>
      </c>
      <c r="Q20" s="20">
        <v>3</v>
      </c>
      <c r="R20" s="20">
        <v>3</v>
      </c>
      <c r="S20" s="20">
        <v>3</v>
      </c>
      <c r="T20" s="25">
        <v>0</v>
      </c>
      <c r="U20" s="1"/>
      <c r="V20" s="1"/>
      <c r="W20" s="1"/>
    </row>
    <row r="21" spans="2:23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2:23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2:23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2:23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</sheetData>
  <sheetProtection algorithmName="SHA-512" hashValue="sQVeNTHBIGuNRILZXxXlj7Q7+5HZof3pHBS89KHfarxOB61+AcdzOS5Ufqk33Zg0jjauduVrb2P/Xys8FLgPPw==" saltValue="PenFgIiqWHWm//G0HZCOrQ==" spinCount="100000" sheet="1" objects="1" scenarios="1" selectLockedCells="1" selectUnlockedCells="1"/>
  <dataConsolidate/>
  <dataValidations disablePrompts="1" count="1">
    <dataValidation allowBlank="1" showInputMessage="1" showErrorMessage="1" error="_x000a_" sqref="C20"/>
  </dataValidations>
  <pageMargins left="0.7" right="0.7" top="0.75" bottom="0.75" header="0.3" footer="0.3"/>
  <pageSetup paperSize="9" orientation="portrait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6"/>
  <sheetViews>
    <sheetView workbookViewId="0"/>
  </sheetViews>
  <sheetFormatPr defaultRowHeight="15" x14ac:dyDescent="0.25"/>
  <cols>
    <col min="2" max="24" width="12.7109375" customWidth="1"/>
  </cols>
  <sheetData>
    <row r="2" spans="2:24" x14ac:dyDescent="0.25">
      <c r="C2" s="22" t="s">
        <v>21</v>
      </c>
      <c r="D2" s="22" t="s">
        <v>22</v>
      </c>
      <c r="E2" s="22" t="s">
        <v>23</v>
      </c>
      <c r="F2" s="22" t="s">
        <v>24</v>
      </c>
      <c r="G2" s="22" t="s">
        <v>25</v>
      </c>
      <c r="H2" s="22" t="s">
        <v>26</v>
      </c>
      <c r="I2" s="22" t="s">
        <v>27</v>
      </c>
      <c r="J2" s="22" t="s">
        <v>28</v>
      </c>
      <c r="K2" s="22" t="s">
        <v>29</v>
      </c>
      <c r="L2" s="22" t="s">
        <v>30</v>
      </c>
      <c r="M2" s="22" t="s">
        <v>31</v>
      </c>
      <c r="N2" s="22" t="s">
        <v>32</v>
      </c>
      <c r="O2" s="22" t="s">
        <v>33</v>
      </c>
      <c r="P2" s="22" t="s">
        <v>34</v>
      </c>
      <c r="Q2" s="22" t="s">
        <v>35</v>
      </c>
      <c r="R2" s="22" t="s">
        <v>36</v>
      </c>
      <c r="S2" s="22" t="s">
        <v>37</v>
      </c>
      <c r="T2" s="22" t="s">
        <v>38</v>
      </c>
      <c r="U2" s="22" t="s">
        <v>39</v>
      </c>
      <c r="V2" s="22" t="s">
        <v>40</v>
      </c>
      <c r="W2" s="22" t="s">
        <v>41</v>
      </c>
      <c r="X2" s="22" t="s">
        <v>42</v>
      </c>
    </row>
    <row r="3" spans="2:24" ht="35.1" customHeight="1" x14ac:dyDescent="0.25">
      <c r="B3" s="7"/>
      <c r="C3" s="6" t="s">
        <v>50</v>
      </c>
      <c r="D3" s="6" t="s">
        <v>51</v>
      </c>
      <c r="E3" s="6" t="s">
        <v>52</v>
      </c>
      <c r="F3" s="6" t="s">
        <v>53</v>
      </c>
      <c r="G3" s="6" t="s">
        <v>54</v>
      </c>
      <c r="H3" s="6" t="s">
        <v>55</v>
      </c>
      <c r="I3" s="6" t="s">
        <v>56</v>
      </c>
      <c r="J3" s="6" t="s">
        <v>57</v>
      </c>
      <c r="K3" s="6" t="s">
        <v>58</v>
      </c>
      <c r="L3" s="6" t="s">
        <v>59</v>
      </c>
      <c r="M3" s="6" t="s">
        <v>60</v>
      </c>
      <c r="N3" s="6" t="s">
        <v>61</v>
      </c>
      <c r="O3" s="6" t="s">
        <v>62</v>
      </c>
      <c r="P3" s="6" t="s">
        <v>63</v>
      </c>
      <c r="Q3" s="6" t="s">
        <v>64</v>
      </c>
      <c r="R3" s="6" t="s">
        <v>65</v>
      </c>
      <c r="S3" s="6" t="s">
        <v>66</v>
      </c>
      <c r="T3" s="6" t="s">
        <v>67</v>
      </c>
      <c r="U3" s="6" t="s">
        <v>68</v>
      </c>
      <c r="V3" s="6" t="s">
        <v>69</v>
      </c>
      <c r="W3" s="6" t="s">
        <v>70</v>
      </c>
      <c r="X3" s="6" t="s">
        <v>71</v>
      </c>
    </row>
    <row r="4" spans="2:24" ht="15" customHeight="1" x14ac:dyDescent="0.25"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x14ac:dyDescent="0.25">
      <c r="B5" s="8" t="s">
        <v>6</v>
      </c>
      <c r="C5" s="8" t="s">
        <v>7</v>
      </c>
      <c r="D5" s="8" t="s">
        <v>7</v>
      </c>
      <c r="E5" s="8" t="s">
        <v>7</v>
      </c>
      <c r="F5" s="8" t="s">
        <v>7</v>
      </c>
      <c r="G5" s="8" t="s">
        <v>7</v>
      </c>
      <c r="H5" s="8" t="s">
        <v>7</v>
      </c>
      <c r="I5" s="8" t="s">
        <v>7</v>
      </c>
      <c r="J5" s="8" t="s">
        <v>7</v>
      </c>
      <c r="K5" s="8" t="s">
        <v>7</v>
      </c>
      <c r="L5" s="8" t="s">
        <v>7</v>
      </c>
      <c r="M5" s="8" t="s">
        <v>7</v>
      </c>
      <c r="N5" s="8" t="s">
        <v>7</v>
      </c>
      <c r="O5" s="8" t="s">
        <v>7</v>
      </c>
      <c r="P5" s="8" t="s">
        <v>7</v>
      </c>
      <c r="Q5" s="8" t="s">
        <v>7</v>
      </c>
      <c r="R5" s="8" t="s">
        <v>7</v>
      </c>
      <c r="S5" s="8" t="s">
        <v>7</v>
      </c>
      <c r="T5" s="8" t="s">
        <v>7</v>
      </c>
      <c r="U5" s="8" t="s">
        <v>7</v>
      </c>
      <c r="V5" s="8" t="s">
        <v>7</v>
      </c>
      <c r="W5" s="8" t="s">
        <v>7</v>
      </c>
      <c r="X5" s="8" t="s">
        <v>7</v>
      </c>
    </row>
    <row r="6" spans="2:24" x14ac:dyDescent="0.25">
      <c r="B6" s="3">
        <v>45</v>
      </c>
      <c r="C6" s="9">
        <v>100</v>
      </c>
      <c r="D6" s="9">
        <v>100</v>
      </c>
      <c r="E6" s="9">
        <v>100</v>
      </c>
      <c r="F6" s="9">
        <v>100</v>
      </c>
      <c r="G6" s="9">
        <v>100</v>
      </c>
      <c r="H6" s="9">
        <v>100</v>
      </c>
      <c r="I6" s="9">
        <v>100</v>
      </c>
      <c r="J6" s="9">
        <v>100</v>
      </c>
      <c r="K6" s="9">
        <v>100</v>
      </c>
      <c r="L6" s="9">
        <v>100</v>
      </c>
      <c r="M6" s="9">
        <v>100</v>
      </c>
      <c r="N6" s="9">
        <v>100</v>
      </c>
      <c r="O6" s="9">
        <v>100</v>
      </c>
      <c r="P6" s="9">
        <v>100</v>
      </c>
      <c r="Q6" s="9">
        <v>100</v>
      </c>
      <c r="R6" s="9">
        <v>100</v>
      </c>
      <c r="S6" s="9">
        <v>100</v>
      </c>
      <c r="T6" s="9">
        <v>100</v>
      </c>
      <c r="U6" s="9">
        <v>100</v>
      </c>
      <c r="V6" s="9">
        <v>100</v>
      </c>
      <c r="W6" s="9">
        <v>100</v>
      </c>
      <c r="X6" s="9">
        <v>100</v>
      </c>
    </row>
    <row r="7" spans="2:24" x14ac:dyDescent="0.25">
      <c r="B7" s="3">
        <v>31.5</v>
      </c>
      <c r="C7" s="9">
        <v>100</v>
      </c>
      <c r="D7" s="9">
        <v>100</v>
      </c>
      <c r="E7" s="9">
        <v>90</v>
      </c>
      <c r="F7" s="9">
        <v>100</v>
      </c>
      <c r="G7" s="9">
        <v>100</v>
      </c>
      <c r="H7" s="9">
        <v>100</v>
      </c>
      <c r="I7" s="9">
        <v>100</v>
      </c>
      <c r="J7" s="9">
        <v>100</v>
      </c>
      <c r="K7" s="9">
        <v>100</v>
      </c>
      <c r="L7" s="9">
        <v>100</v>
      </c>
      <c r="M7" s="9">
        <v>100</v>
      </c>
      <c r="N7" s="9">
        <v>100</v>
      </c>
      <c r="O7" s="9">
        <v>100</v>
      </c>
      <c r="P7" s="9">
        <v>100</v>
      </c>
      <c r="Q7" s="9">
        <v>100</v>
      </c>
      <c r="R7" s="9">
        <v>100</v>
      </c>
      <c r="S7" s="9">
        <v>100</v>
      </c>
      <c r="T7" s="9">
        <v>100</v>
      </c>
      <c r="U7" s="9">
        <v>100</v>
      </c>
      <c r="V7" s="9">
        <v>100</v>
      </c>
      <c r="W7" s="9">
        <v>100</v>
      </c>
      <c r="X7" s="9">
        <v>100</v>
      </c>
    </row>
    <row r="8" spans="2:24" x14ac:dyDescent="0.25">
      <c r="B8" s="3">
        <v>22.4</v>
      </c>
      <c r="C8" s="9">
        <v>90</v>
      </c>
      <c r="D8" s="9">
        <v>100</v>
      </c>
      <c r="E8" s="9">
        <v>65</v>
      </c>
      <c r="F8" s="9">
        <v>90</v>
      </c>
      <c r="G8" s="9">
        <v>100</v>
      </c>
      <c r="H8" s="9">
        <v>100</v>
      </c>
      <c r="I8" s="9">
        <v>100</v>
      </c>
      <c r="J8" s="9">
        <v>90</v>
      </c>
      <c r="K8" s="9">
        <v>100</v>
      </c>
      <c r="L8" s="9">
        <v>100</v>
      </c>
      <c r="M8" s="9">
        <v>100</v>
      </c>
      <c r="N8" s="9">
        <v>100</v>
      </c>
      <c r="O8" s="9">
        <v>100</v>
      </c>
      <c r="P8" s="9">
        <v>100</v>
      </c>
      <c r="Q8" s="9">
        <v>100</v>
      </c>
      <c r="R8" s="9">
        <v>100</v>
      </c>
      <c r="S8" s="9">
        <v>100</v>
      </c>
      <c r="T8" s="9">
        <v>100</v>
      </c>
      <c r="U8" s="9">
        <v>100</v>
      </c>
      <c r="V8" s="9">
        <v>100</v>
      </c>
      <c r="W8" s="9">
        <v>100</v>
      </c>
      <c r="X8" s="9">
        <v>90</v>
      </c>
    </row>
    <row r="9" spans="2:24" x14ac:dyDescent="0.25">
      <c r="B9" s="3">
        <v>16</v>
      </c>
      <c r="C9" s="9">
        <v>65</v>
      </c>
      <c r="D9" s="9">
        <v>90</v>
      </c>
      <c r="E9" s="9" t="s">
        <v>11</v>
      </c>
      <c r="F9" s="9">
        <v>65</v>
      </c>
      <c r="G9" s="9">
        <v>90</v>
      </c>
      <c r="H9" s="9">
        <v>90</v>
      </c>
      <c r="I9" s="9">
        <v>100</v>
      </c>
      <c r="J9" s="9">
        <v>65</v>
      </c>
      <c r="K9" s="9">
        <v>90</v>
      </c>
      <c r="L9" s="9">
        <v>100</v>
      </c>
      <c r="M9" s="9">
        <v>100</v>
      </c>
      <c r="N9" s="9">
        <v>100</v>
      </c>
      <c r="O9" s="9">
        <v>100</v>
      </c>
      <c r="P9" s="9">
        <v>100</v>
      </c>
      <c r="Q9" s="9">
        <v>100</v>
      </c>
      <c r="R9" s="9">
        <v>100</v>
      </c>
      <c r="S9" s="9">
        <v>100</v>
      </c>
      <c r="T9" s="9">
        <v>100</v>
      </c>
      <c r="U9" s="9">
        <v>100</v>
      </c>
      <c r="V9" s="9">
        <v>100</v>
      </c>
      <c r="W9" s="9">
        <v>100</v>
      </c>
      <c r="X9" s="9" t="s">
        <v>11</v>
      </c>
    </row>
    <row r="10" spans="2:24" x14ac:dyDescent="0.25">
      <c r="B10" s="3">
        <v>11.2</v>
      </c>
      <c r="C10" s="9" t="s">
        <v>11</v>
      </c>
      <c r="D10" s="9">
        <v>70</v>
      </c>
      <c r="E10" s="9" t="s">
        <v>11</v>
      </c>
      <c r="F10" s="9" t="s">
        <v>11</v>
      </c>
      <c r="G10" s="9">
        <v>65</v>
      </c>
      <c r="H10" s="9">
        <v>65</v>
      </c>
      <c r="I10" s="9">
        <v>90</v>
      </c>
      <c r="J10" s="9" t="s">
        <v>11</v>
      </c>
      <c r="K10" s="9">
        <v>70</v>
      </c>
      <c r="L10" s="9">
        <v>90</v>
      </c>
      <c r="M10" s="9">
        <v>100</v>
      </c>
      <c r="N10" s="9">
        <v>100</v>
      </c>
      <c r="O10" s="9">
        <v>90</v>
      </c>
      <c r="P10" s="9">
        <v>90</v>
      </c>
      <c r="Q10" s="9">
        <v>100</v>
      </c>
      <c r="R10" s="9">
        <v>100</v>
      </c>
      <c r="S10" s="9">
        <v>90</v>
      </c>
      <c r="T10" s="9">
        <v>90</v>
      </c>
      <c r="U10" s="9">
        <v>100</v>
      </c>
      <c r="V10" s="9">
        <v>90</v>
      </c>
      <c r="W10" s="9">
        <v>70</v>
      </c>
      <c r="X10" s="9">
        <v>63</v>
      </c>
    </row>
    <row r="11" spans="2:24" x14ac:dyDescent="0.25">
      <c r="B11" s="3">
        <v>8</v>
      </c>
      <c r="C11" s="9">
        <v>42</v>
      </c>
      <c r="D11" s="9">
        <v>50</v>
      </c>
      <c r="E11" s="9">
        <v>33</v>
      </c>
      <c r="F11" s="9">
        <v>42</v>
      </c>
      <c r="G11" s="9">
        <v>50</v>
      </c>
      <c r="H11" s="9" t="s">
        <v>11</v>
      </c>
      <c r="I11" s="9">
        <v>60</v>
      </c>
      <c r="J11" s="9">
        <v>45</v>
      </c>
      <c r="K11" s="9">
        <v>55</v>
      </c>
      <c r="L11" s="9">
        <v>70</v>
      </c>
      <c r="M11" s="9">
        <v>90</v>
      </c>
      <c r="N11" s="9">
        <v>100</v>
      </c>
      <c r="O11" s="9">
        <v>60</v>
      </c>
      <c r="P11" s="9">
        <v>60</v>
      </c>
      <c r="Q11" s="9">
        <v>100</v>
      </c>
      <c r="R11" s="9">
        <v>90</v>
      </c>
      <c r="S11" s="9">
        <v>50</v>
      </c>
      <c r="T11" s="9">
        <v>50</v>
      </c>
      <c r="U11" s="9">
        <v>100</v>
      </c>
      <c r="V11" s="9">
        <v>77</v>
      </c>
      <c r="W11" s="9" t="s">
        <v>11</v>
      </c>
      <c r="X11" s="9" t="s">
        <v>11</v>
      </c>
    </row>
    <row r="12" spans="2:24" x14ac:dyDescent="0.25">
      <c r="B12" s="3">
        <v>5.6</v>
      </c>
      <c r="C12" s="9" t="s">
        <v>11</v>
      </c>
      <c r="D12" s="9" t="s">
        <v>11</v>
      </c>
      <c r="E12" s="9" t="s">
        <v>11</v>
      </c>
      <c r="F12" s="9" t="s">
        <v>11</v>
      </c>
      <c r="G12" s="9" t="s">
        <v>11</v>
      </c>
      <c r="H12" s="9" t="s">
        <v>11</v>
      </c>
      <c r="I12" s="9" t="s">
        <v>11</v>
      </c>
      <c r="J12" s="9" t="s">
        <v>11</v>
      </c>
      <c r="K12" s="9" t="s">
        <v>11</v>
      </c>
      <c r="L12" s="9" t="s">
        <v>11</v>
      </c>
      <c r="M12" s="9">
        <v>70</v>
      </c>
      <c r="N12" s="9">
        <v>90</v>
      </c>
      <c r="O12" s="9">
        <v>48</v>
      </c>
      <c r="P12" s="9">
        <v>48</v>
      </c>
      <c r="Q12" s="9">
        <v>90</v>
      </c>
      <c r="R12" s="9">
        <v>35</v>
      </c>
      <c r="S12" s="9">
        <v>35</v>
      </c>
      <c r="T12" s="9">
        <v>35</v>
      </c>
      <c r="U12" s="9">
        <v>90</v>
      </c>
      <c r="V12" s="9">
        <v>67</v>
      </c>
      <c r="W12" s="9" t="s">
        <v>11</v>
      </c>
      <c r="X12" s="9">
        <v>46</v>
      </c>
    </row>
    <row r="13" spans="2:24" x14ac:dyDescent="0.25">
      <c r="B13" s="3">
        <v>2</v>
      </c>
      <c r="C13" s="9">
        <v>15</v>
      </c>
      <c r="D13" s="9">
        <v>25</v>
      </c>
      <c r="E13" s="9">
        <v>10</v>
      </c>
      <c r="F13" s="9">
        <v>15</v>
      </c>
      <c r="G13" s="9">
        <v>25</v>
      </c>
      <c r="H13" s="9">
        <v>25</v>
      </c>
      <c r="I13" s="9">
        <v>30</v>
      </c>
      <c r="J13" s="9">
        <v>20</v>
      </c>
      <c r="K13" s="9">
        <v>25</v>
      </c>
      <c r="L13" s="9">
        <v>30</v>
      </c>
      <c r="M13" s="9">
        <v>45</v>
      </c>
      <c r="N13" s="9">
        <v>40</v>
      </c>
      <c r="O13" s="9">
        <v>35</v>
      </c>
      <c r="P13" s="9">
        <v>40</v>
      </c>
      <c r="Q13" s="9">
        <v>30</v>
      </c>
      <c r="R13" s="9">
        <v>20</v>
      </c>
      <c r="S13" s="9">
        <v>20</v>
      </c>
      <c r="T13" s="9">
        <v>20</v>
      </c>
      <c r="U13" s="9">
        <v>65</v>
      </c>
      <c r="V13" s="9">
        <v>52</v>
      </c>
      <c r="W13" s="9">
        <v>45</v>
      </c>
      <c r="X13" s="9">
        <v>35</v>
      </c>
    </row>
    <row r="14" spans="2:24" x14ac:dyDescent="0.25">
      <c r="B14" s="3">
        <v>0.125</v>
      </c>
      <c r="C14" s="9">
        <v>5</v>
      </c>
      <c r="D14" s="9">
        <v>5</v>
      </c>
      <c r="E14" s="9">
        <v>4</v>
      </c>
      <c r="F14" s="9">
        <v>4</v>
      </c>
      <c r="G14" s="9">
        <v>5</v>
      </c>
      <c r="H14" s="9">
        <v>5</v>
      </c>
      <c r="I14" s="9">
        <v>6</v>
      </c>
      <c r="J14" s="9">
        <v>4</v>
      </c>
      <c r="K14" s="9">
        <v>4</v>
      </c>
      <c r="L14" s="9">
        <v>8</v>
      </c>
      <c r="M14" s="9">
        <v>8</v>
      </c>
      <c r="N14" s="9">
        <v>8</v>
      </c>
      <c r="O14" s="9">
        <v>8</v>
      </c>
      <c r="P14" s="9">
        <v>8</v>
      </c>
      <c r="Q14" s="9">
        <v>10</v>
      </c>
      <c r="R14" s="9">
        <v>9</v>
      </c>
      <c r="S14" s="9">
        <v>9</v>
      </c>
      <c r="T14" s="9">
        <v>9</v>
      </c>
      <c r="U14" s="9">
        <v>32</v>
      </c>
      <c r="V14" s="9">
        <v>26</v>
      </c>
      <c r="W14" s="9">
        <v>22</v>
      </c>
      <c r="X14" s="9">
        <v>20</v>
      </c>
    </row>
    <row r="15" spans="2:24" x14ac:dyDescent="0.25">
      <c r="B15" s="3">
        <v>6.3E-2</v>
      </c>
      <c r="C15" s="9">
        <v>4</v>
      </c>
      <c r="D15" s="9">
        <v>4</v>
      </c>
      <c r="E15" s="9">
        <v>3</v>
      </c>
      <c r="F15" s="9">
        <v>4</v>
      </c>
      <c r="G15" s="9">
        <v>4</v>
      </c>
      <c r="H15" s="9">
        <v>3</v>
      </c>
      <c r="I15" s="9">
        <v>3</v>
      </c>
      <c r="J15" s="9">
        <v>4</v>
      </c>
      <c r="K15" s="9">
        <v>4</v>
      </c>
      <c r="L15" s="9">
        <v>5</v>
      </c>
      <c r="M15" s="9">
        <v>6</v>
      </c>
      <c r="N15" s="9">
        <v>6</v>
      </c>
      <c r="O15" s="9">
        <v>5</v>
      </c>
      <c r="P15" s="9">
        <v>5</v>
      </c>
      <c r="Q15" s="9">
        <v>7</v>
      </c>
      <c r="R15" s="9">
        <v>7</v>
      </c>
      <c r="S15" s="9">
        <v>8</v>
      </c>
      <c r="T15" s="9">
        <v>8</v>
      </c>
      <c r="U15" s="9">
        <v>28</v>
      </c>
      <c r="V15" s="9">
        <v>24</v>
      </c>
      <c r="W15" s="9">
        <v>20</v>
      </c>
      <c r="X15" s="9">
        <v>20</v>
      </c>
    </row>
    <row r="16" spans="2:24" x14ac:dyDescent="0.25">
      <c r="C16" s="10"/>
      <c r="D16" s="10"/>
      <c r="E16" s="10"/>
      <c r="F16" s="10"/>
      <c r="G16" s="10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2:24" x14ac:dyDescent="0.25">
      <c r="B17" s="8" t="s">
        <v>6</v>
      </c>
      <c r="C17" s="8" t="s">
        <v>8</v>
      </c>
      <c r="D17" s="8" t="s">
        <v>8</v>
      </c>
      <c r="E17" s="8" t="s">
        <v>8</v>
      </c>
      <c r="F17" s="8" t="s">
        <v>8</v>
      </c>
      <c r="G17" s="8" t="s">
        <v>8</v>
      </c>
      <c r="H17" s="8" t="s">
        <v>8</v>
      </c>
      <c r="I17" s="8" t="s">
        <v>8</v>
      </c>
      <c r="J17" s="8" t="s">
        <v>8</v>
      </c>
      <c r="K17" s="8" t="s">
        <v>8</v>
      </c>
      <c r="L17" s="8" t="s">
        <v>8</v>
      </c>
      <c r="M17" s="8" t="s">
        <v>8</v>
      </c>
      <c r="N17" s="8" t="s">
        <v>8</v>
      </c>
      <c r="O17" s="8" t="s">
        <v>8</v>
      </c>
      <c r="P17" s="8" t="s">
        <v>8</v>
      </c>
      <c r="Q17" s="8" t="s">
        <v>8</v>
      </c>
      <c r="R17" s="8" t="s">
        <v>8</v>
      </c>
      <c r="S17" s="8" t="s">
        <v>8</v>
      </c>
      <c r="T17" s="8" t="s">
        <v>8</v>
      </c>
      <c r="U17" s="8" t="s">
        <v>8</v>
      </c>
      <c r="V17" s="8" t="s">
        <v>8</v>
      </c>
      <c r="W17" s="8" t="s">
        <v>8</v>
      </c>
      <c r="X17" s="8" t="s">
        <v>8</v>
      </c>
    </row>
    <row r="18" spans="2:24" x14ac:dyDescent="0.25">
      <c r="B18" s="3">
        <v>45</v>
      </c>
      <c r="C18" s="9">
        <v>100</v>
      </c>
      <c r="D18" s="9">
        <v>100</v>
      </c>
      <c r="E18" s="9">
        <v>100</v>
      </c>
      <c r="F18" s="9">
        <v>100</v>
      </c>
      <c r="G18" s="9">
        <v>100</v>
      </c>
      <c r="H18" s="9">
        <v>100</v>
      </c>
      <c r="I18" s="9">
        <v>100</v>
      </c>
      <c r="J18" s="9">
        <v>100</v>
      </c>
      <c r="K18" s="9">
        <v>100</v>
      </c>
      <c r="L18" s="9">
        <v>100</v>
      </c>
      <c r="M18" s="9">
        <v>100</v>
      </c>
      <c r="N18" s="9">
        <v>100</v>
      </c>
      <c r="O18" s="9">
        <v>100</v>
      </c>
      <c r="P18" s="9">
        <v>100</v>
      </c>
      <c r="Q18" s="9">
        <v>100</v>
      </c>
      <c r="R18" s="9">
        <v>100</v>
      </c>
      <c r="S18" s="9">
        <v>100</v>
      </c>
      <c r="T18" s="9">
        <v>100</v>
      </c>
      <c r="U18" s="9">
        <v>100</v>
      </c>
      <c r="V18" s="9">
        <v>100</v>
      </c>
      <c r="W18" s="9">
        <v>100</v>
      </c>
      <c r="X18" s="9">
        <v>100</v>
      </c>
    </row>
    <row r="19" spans="2:24" x14ac:dyDescent="0.25">
      <c r="B19" s="3">
        <v>31.5</v>
      </c>
      <c r="C19" s="9">
        <v>100</v>
      </c>
      <c r="D19" s="9">
        <v>100</v>
      </c>
      <c r="E19" s="9">
        <v>100</v>
      </c>
      <c r="F19" s="12">
        <v>100</v>
      </c>
      <c r="G19" s="12">
        <v>100</v>
      </c>
      <c r="H19" s="12">
        <v>100</v>
      </c>
      <c r="I19" s="12">
        <v>100</v>
      </c>
      <c r="J19" s="12">
        <v>100</v>
      </c>
      <c r="K19" s="12">
        <v>100</v>
      </c>
      <c r="L19" s="12">
        <v>100</v>
      </c>
      <c r="M19" s="12">
        <v>100</v>
      </c>
      <c r="N19" s="12">
        <v>100</v>
      </c>
      <c r="O19" s="12">
        <v>100</v>
      </c>
      <c r="P19" s="12">
        <v>100</v>
      </c>
      <c r="Q19" s="12">
        <v>100</v>
      </c>
      <c r="R19" s="12">
        <v>100</v>
      </c>
      <c r="S19" s="12">
        <v>100</v>
      </c>
      <c r="T19" s="12">
        <v>100</v>
      </c>
      <c r="U19" s="12">
        <v>100</v>
      </c>
      <c r="V19" s="12">
        <v>100</v>
      </c>
      <c r="W19" s="12">
        <v>100</v>
      </c>
      <c r="X19" s="12">
        <v>100</v>
      </c>
    </row>
    <row r="20" spans="2:24" x14ac:dyDescent="0.25">
      <c r="B20" s="3">
        <v>22.4</v>
      </c>
      <c r="C20" s="9">
        <v>100</v>
      </c>
      <c r="D20" s="9">
        <v>100</v>
      </c>
      <c r="E20" s="9">
        <v>90</v>
      </c>
      <c r="F20" s="12">
        <v>100</v>
      </c>
      <c r="G20" s="12">
        <v>100</v>
      </c>
      <c r="H20" s="12">
        <v>100</v>
      </c>
      <c r="I20" s="12">
        <v>100</v>
      </c>
      <c r="J20" s="12">
        <v>100</v>
      </c>
      <c r="K20" s="12">
        <v>100</v>
      </c>
      <c r="L20" s="12">
        <v>100</v>
      </c>
      <c r="M20" s="12">
        <v>100</v>
      </c>
      <c r="N20" s="12">
        <v>100</v>
      </c>
      <c r="O20" s="12">
        <v>100</v>
      </c>
      <c r="P20" s="12">
        <v>100</v>
      </c>
      <c r="Q20" s="12">
        <v>100</v>
      </c>
      <c r="R20" s="12">
        <v>100</v>
      </c>
      <c r="S20" s="12">
        <v>100</v>
      </c>
      <c r="T20" s="12">
        <v>100</v>
      </c>
      <c r="U20" s="12">
        <v>100</v>
      </c>
      <c r="V20" s="12">
        <v>100</v>
      </c>
      <c r="W20" s="12">
        <v>100</v>
      </c>
      <c r="X20" s="12">
        <v>100</v>
      </c>
    </row>
    <row r="21" spans="2:24" x14ac:dyDescent="0.25">
      <c r="B21" s="3">
        <v>16</v>
      </c>
      <c r="C21" s="9">
        <v>93</v>
      </c>
      <c r="D21" s="9">
        <v>100</v>
      </c>
      <c r="E21" s="9" t="s">
        <v>11</v>
      </c>
      <c r="F21" s="12">
        <v>90</v>
      </c>
      <c r="G21" s="12">
        <v>100</v>
      </c>
      <c r="H21" s="12">
        <v>100</v>
      </c>
      <c r="I21" s="12">
        <v>100</v>
      </c>
      <c r="J21" s="12">
        <v>90</v>
      </c>
      <c r="K21" s="12">
        <v>100</v>
      </c>
      <c r="L21" s="12">
        <v>100</v>
      </c>
      <c r="M21" s="12">
        <v>100</v>
      </c>
      <c r="N21" s="12">
        <v>100</v>
      </c>
      <c r="O21" s="12">
        <v>100</v>
      </c>
      <c r="P21" s="12">
        <v>100</v>
      </c>
      <c r="Q21" s="12">
        <v>100</v>
      </c>
      <c r="R21" s="12">
        <v>100</v>
      </c>
      <c r="S21" s="12">
        <v>100</v>
      </c>
      <c r="T21" s="12">
        <v>100</v>
      </c>
      <c r="U21" s="12">
        <v>100</v>
      </c>
      <c r="V21" s="12">
        <v>100</v>
      </c>
      <c r="W21" s="12">
        <v>100</v>
      </c>
      <c r="X21" s="12">
        <v>0</v>
      </c>
    </row>
    <row r="22" spans="2:24" x14ac:dyDescent="0.25">
      <c r="B22" s="3">
        <v>11.2</v>
      </c>
      <c r="C22" s="9" t="s">
        <v>11</v>
      </c>
      <c r="D22" s="9">
        <v>92</v>
      </c>
      <c r="E22" s="9" t="s">
        <v>11</v>
      </c>
      <c r="F22" s="9" t="s">
        <v>11</v>
      </c>
      <c r="G22" s="12">
        <v>85</v>
      </c>
      <c r="H22" s="12">
        <v>80</v>
      </c>
      <c r="I22" s="12">
        <v>100</v>
      </c>
      <c r="J22" s="9" t="s">
        <v>11</v>
      </c>
      <c r="K22" s="12">
        <v>90</v>
      </c>
      <c r="L22" s="12">
        <v>100</v>
      </c>
      <c r="M22" s="12">
        <v>100</v>
      </c>
      <c r="N22" s="12">
        <v>100</v>
      </c>
      <c r="O22" s="12">
        <v>90</v>
      </c>
      <c r="P22" s="12">
        <v>100</v>
      </c>
      <c r="Q22" s="12">
        <v>100</v>
      </c>
      <c r="R22" s="12">
        <v>100</v>
      </c>
      <c r="S22" s="12">
        <v>100</v>
      </c>
      <c r="T22" s="12">
        <v>100</v>
      </c>
      <c r="U22" s="12">
        <v>100</v>
      </c>
      <c r="V22" s="12">
        <v>100</v>
      </c>
      <c r="W22" s="12">
        <v>85</v>
      </c>
      <c r="X22" s="12">
        <v>78</v>
      </c>
    </row>
    <row r="23" spans="2:24" x14ac:dyDescent="0.25">
      <c r="B23" s="3">
        <v>8</v>
      </c>
      <c r="C23" s="9">
        <v>72</v>
      </c>
      <c r="D23" s="9">
        <v>85</v>
      </c>
      <c r="E23" s="9">
        <v>53</v>
      </c>
      <c r="F23" s="12">
        <v>68</v>
      </c>
      <c r="G23" s="12">
        <v>76</v>
      </c>
      <c r="H23" s="9" t="s">
        <v>11</v>
      </c>
      <c r="I23" s="12">
        <v>85</v>
      </c>
      <c r="J23" s="12">
        <v>70</v>
      </c>
      <c r="K23" s="12">
        <v>80</v>
      </c>
      <c r="L23" s="12">
        <v>90</v>
      </c>
      <c r="M23" s="12">
        <v>100</v>
      </c>
      <c r="N23" s="12">
        <v>100</v>
      </c>
      <c r="O23" s="12">
        <v>75</v>
      </c>
      <c r="P23" s="12">
        <v>80</v>
      </c>
      <c r="Q23" s="12">
        <v>100</v>
      </c>
      <c r="R23" s="12">
        <v>100</v>
      </c>
      <c r="S23" s="12">
        <v>65</v>
      </c>
      <c r="T23" s="12">
        <v>65</v>
      </c>
      <c r="U23" s="12">
        <v>100</v>
      </c>
      <c r="V23" s="12">
        <v>92</v>
      </c>
      <c r="W23" s="9" t="s">
        <v>11</v>
      </c>
      <c r="X23" s="9" t="s">
        <v>11</v>
      </c>
    </row>
    <row r="24" spans="2:24" x14ac:dyDescent="0.25">
      <c r="B24" s="3">
        <v>5.6</v>
      </c>
      <c r="C24" s="9" t="s">
        <v>11</v>
      </c>
      <c r="D24" s="9" t="s">
        <v>11</v>
      </c>
      <c r="E24" s="9" t="s">
        <v>11</v>
      </c>
      <c r="F24" s="9" t="s">
        <v>11</v>
      </c>
      <c r="G24" s="9" t="s">
        <v>11</v>
      </c>
      <c r="H24" s="9" t="s">
        <v>11</v>
      </c>
      <c r="I24" s="9" t="s">
        <v>11</v>
      </c>
      <c r="J24" s="9" t="s">
        <v>11</v>
      </c>
      <c r="K24" s="9" t="s">
        <v>11</v>
      </c>
      <c r="L24" s="9" t="s">
        <v>11</v>
      </c>
      <c r="M24" s="12">
        <v>90</v>
      </c>
      <c r="N24" s="12">
        <v>100</v>
      </c>
      <c r="O24" s="12">
        <v>60</v>
      </c>
      <c r="P24" s="12">
        <v>60</v>
      </c>
      <c r="Q24" s="12">
        <v>100</v>
      </c>
      <c r="R24" s="12">
        <v>60</v>
      </c>
      <c r="S24" s="12">
        <v>45</v>
      </c>
      <c r="T24" s="12">
        <v>45</v>
      </c>
      <c r="U24" s="12">
        <v>100</v>
      </c>
      <c r="V24" s="12">
        <v>81</v>
      </c>
      <c r="W24" s="9" t="s">
        <v>11</v>
      </c>
      <c r="X24" s="12">
        <v>61</v>
      </c>
    </row>
    <row r="25" spans="2:24" x14ac:dyDescent="0.25">
      <c r="B25" s="3">
        <v>2</v>
      </c>
      <c r="C25" s="9">
        <v>45</v>
      </c>
      <c r="D25" s="9">
        <v>50</v>
      </c>
      <c r="E25" s="9">
        <v>40</v>
      </c>
      <c r="F25" s="12">
        <v>45</v>
      </c>
      <c r="G25" s="12">
        <v>50</v>
      </c>
      <c r="H25" s="12">
        <v>55</v>
      </c>
      <c r="I25" s="12">
        <v>55</v>
      </c>
      <c r="J25" s="12">
        <v>45</v>
      </c>
      <c r="K25" s="12">
        <v>50</v>
      </c>
      <c r="L25" s="12">
        <v>55</v>
      </c>
      <c r="M25" s="12">
        <v>60</v>
      </c>
      <c r="N25" s="12">
        <v>65</v>
      </c>
      <c r="O25" s="12">
        <v>50</v>
      </c>
      <c r="P25" s="12">
        <v>55</v>
      </c>
      <c r="Q25" s="12">
        <v>40</v>
      </c>
      <c r="R25" s="12">
        <v>30</v>
      </c>
      <c r="S25" s="12">
        <v>30</v>
      </c>
      <c r="T25" s="12">
        <v>30</v>
      </c>
      <c r="U25" s="12">
        <v>80</v>
      </c>
      <c r="V25" s="12">
        <v>67</v>
      </c>
      <c r="W25" s="12">
        <v>55</v>
      </c>
      <c r="X25" s="12">
        <v>50</v>
      </c>
    </row>
    <row r="26" spans="2:24" x14ac:dyDescent="0.25">
      <c r="B26" s="3">
        <v>0.125</v>
      </c>
      <c r="C26" s="9">
        <v>13</v>
      </c>
      <c r="D26" s="9">
        <v>13</v>
      </c>
      <c r="E26" s="9">
        <v>12</v>
      </c>
      <c r="F26" s="12">
        <v>12</v>
      </c>
      <c r="G26" s="12">
        <v>12</v>
      </c>
      <c r="H26" s="12">
        <v>15</v>
      </c>
      <c r="I26" s="12">
        <v>24</v>
      </c>
      <c r="J26" s="12">
        <v>12</v>
      </c>
      <c r="K26" s="12">
        <v>12</v>
      </c>
      <c r="L26" s="12">
        <v>20</v>
      </c>
      <c r="M26" s="12">
        <v>22</v>
      </c>
      <c r="N26" s="12">
        <v>22</v>
      </c>
      <c r="O26" s="12">
        <v>20</v>
      </c>
      <c r="P26" s="12">
        <v>22</v>
      </c>
      <c r="Q26" s="12">
        <v>19</v>
      </c>
      <c r="R26" s="12">
        <v>17</v>
      </c>
      <c r="S26" s="12">
        <v>17</v>
      </c>
      <c r="T26" s="12">
        <v>17</v>
      </c>
      <c r="U26" s="12">
        <v>47</v>
      </c>
      <c r="V26" s="12">
        <v>41</v>
      </c>
      <c r="W26" s="12">
        <v>35</v>
      </c>
      <c r="X26" s="12">
        <v>31</v>
      </c>
    </row>
    <row r="27" spans="2:24" x14ac:dyDescent="0.25">
      <c r="B27" s="3">
        <v>6.3E-2</v>
      </c>
      <c r="C27" s="9">
        <v>10</v>
      </c>
      <c r="D27" s="9">
        <v>10</v>
      </c>
      <c r="E27" s="9">
        <v>7</v>
      </c>
      <c r="F27" s="12">
        <v>8</v>
      </c>
      <c r="G27" s="12">
        <v>8</v>
      </c>
      <c r="H27" s="12">
        <v>8</v>
      </c>
      <c r="I27" s="12">
        <v>8</v>
      </c>
      <c r="J27" s="12">
        <v>10</v>
      </c>
      <c r="K27" s="12">
        <v>10</v>
      </c>
      <c r="L27" s="12">
        <v>12</v>
      </c>
      <c r="M27" s="12">
        <v>14</v>
      </c>
      <c r="N27" s="12">
        <v>14</v>
      </c>
      <c r="O27" s="12">
        <v>11</v>
      </c>
      <c r="P27" s="12">
        <v>12</v>
      </c>
      <c r="Q27" s="12">
        <v>12</v>
      </c>
      <c r="R27" s="12">
        <v>12</v>
      </c>
      <c r="S27" s="12">
        <v>12</v>
      </c>
      <c r="T27" s="12">
        <v>12</v>
      </c>
      <c r="U27" s="12">
        <v>40</v>
      </c>
      <c r="V27" s="12">
        <v>36</v>
      </c>
      <c r="W27" s="12">
        <v>28</v>
      </c>
      <c r="X27" s="12">
        <v>28</v>
      </c>
    </row>
    <row r="28" spans="2:24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24" x14ac:dyDescent="0.25">
      <c r="B29" s="16" t="s">
        <v>9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 x14ac:dyDescent="0.25">
      <c r="B30" s="15" t="s">
        <v>10</v>
      </c>
      <c r="C30" s="17">
        <v>4.2</v>
      </c>
      <c r="D30" s="17">
        <v>4.4000000000000004</v>
      </c>
      <c r="E30" s="17">
        <v>3.8</v>
      </c>
      <c r="F30" s="17">
        <v>4</v>
      </c>
      <c r="G30" s="17">
        <v>4.2</v>
      </c>
      <c r="H30" s="17">
        <v>4.5999999999999996</v>
      </c>
      <c r="I30" s="17">
        <v>4.8</v>
      </c>
      <c r="J30" s="17">
        <v>4.5999999999999996</v>
      </c>
      <c r="K30" s="17">
        <v>4.4000000000000004</v>
      </c>
      <c r="L30" s="17">
        <v>5.8</v>
      </c>
      <c r="M30" s="17">
        <v>6</v>
      </c>
      <c r="N30" s="17">
        <v>6.2</v>
      </c>
      <c r="O30" s="17">
        <v>5.8</v>
      </c>
      <c r="P30" s="17">
        <v>5.8</v>
      </c>
      <c r="Q30" s="17">
        <v>7.4</v>
      </c>
      <c r="R30" s="17">
        <v>7.2</v>
      </c>
      <c r="S30" s="17">
        <v>6.6</v>
      </c>
      <c r="T30" s="17">
        <v>6.6</v>
      </c>
      <c r="U30" s="17">
        <v>7</v>
      </c>
      <c r="V30" s="17">
        <v>7</v>
      </c>
      <c r="W30" s="17">
        <v>6.6</v>
      </c>
      <c r="X30" s="17">
        <v>6.5</v>
      </c>
    </row>
    <row r="31" spans="2:24" x14ac:dyDescent="0.25"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4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</sheetData>
  <sheetProtection algorithmName="SHA-512" hashValue="/1cah74zZRZ0XeXaWEFG4mIlkspif/S2o4yPb5ovQDY7xQAbI7hmk6qkQc0Tf1EaEkNE+QhoFEYpghX4bMhTXg==" saltValue="CxsPHCt1GlgGoOWqv7uQ7g==" spinCount="100000" sheet="1" objects="1" scenarios="1" selectLockedCells="1" selectUnlockedCells="1"/>
  <pageMargins left="0.7" right="0.7" top="0.75" bottom="0.75" header="0.3" footer="0.3"/>
  <tableParts count="2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Projekt MM</vt:lpstr>
      <vt:lpstr>Wykres</vt:lpstr>
      <vt:lpstr>Baza kruszyw</vt:lpstr>
      <vt:lpstr>Krzywe gran. + zaw. asf. WT-2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B</dc:creator>
  <cp:lastModifiedBy>M B</cp:lastModifiedBy>
  <cp:lastPrinted>2024-11-29T21:38:26Z</cp:lastPrinted>
  <dcterms:created xsi:type="dcterms:W3CDTF">2024-11-29T12:07:19Z</dcterms:created>
  <dcterms:modified xsi:type="dcterms:W3CDTF">2024-11-30T19:08:28Z</dcterms:modified>
</cp:coreProperties>
</file>