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D:\Dropbox\Politechnika Poznańska\Dydaktyka\Budownictwo Drogowe II\"/>
    </mc:Choice>
  </mc:AlternateContent>
  <bookViews>
    <workbookView xWindow="0" yWindow="0" windowWidth="38400" windowHeight="17115"/>
  </bookViews>
  <sheets>
    <sheet name="Projekt MM" sheetId="4" r:id="rId1"/>
    <sheet name="Wykres" sheetId="6" r:id="rId2"/>
    <sheet name="Krzywe gran. + zaw. asf. WT-2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4" l="1"/>
  <c r="C39" i="4"/>
  <c r="C40" i="4"/>
  <c r="C41" i="4"/>
  <c r="C42" i="4"/>
  <c r="C43" i="4"/>
  <c r="C44" i="4"/>
  <c r="C45" i="4"/>
  <c r="C46" i="4"/>
  <c r="C47" i="4"/>
  <c r="C48" i="4"/>
  <c r="C49" i="4"/>
  <c r="C50" i="4"/>
  <c r="C37" i="4"/>
  <c r="AE5" i="6"/>
  <c r="AE6" i="6"/>
  <c r="AE7" i="6"/>
  <c r="AE8" i="6"/>
  <c r="AE9" i="6"/>
  <c r="AE10" i="6"/>
  <c r="AE11" i="6"/>
  <c r="AE12" i="6"/>
  <c r="AE13" i="6"/>
  <c r="AE14" i="6"/>
  <c r="AE15" i="6"/>
  <c r="AE16" i="6"/>
  <c r="AE17" i="6"/>
  <c r="AE4" i="6"/>
  <c r="G29" i="4"/>
  <c r="H17" i="4"/>
  <c r="H16" i="4" s="1"/>
  <c r="H15" i="4" s="1"/>
  <c r="H14" i="4" s="1"/>
  <c r="H13" i="4" s="1"/>
  <c r="H12" i="4" s="1"/>
  <c r="H11" i="4" s="1"/>
  <c r="H10" i="4" s="1"/>
  <c r="H9" i="4" s="1"/>
  <c r="H8" i="4" s="1"/>
  <c r="H7" i="4" s="1"/>
  <c r="H6" i="4" s="1"/>
  <c r="H18" i="4"/>
  <c r="H19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C20" i="4"/>
  <c r="C19" i="4"/>
  <c r="C17" i="4"/>
  <c r="C15" i="4"/>
  <c r="C14" i="4"/>
  <c r="C12" i="4"/>
  <c r="C11" i="4"/>
  <c r="C10" i="4"/>
  <c r="C8" i="4"/>
  <c r="C7" i="4"/>
  <c r="C6" i="4"/>
  <c r="C23" i="4"/>
  <c r="F23" i="4"/>
  <c r="C9" i="4"/>
  <c r="C21" i="4" s="1"/>
  <c r="C13" i="4"/>
  <c r="C16" i="4"/>
  <c r="C18" i="4"/>
  <c r="AF17" i="6" l="1"/>
  <c r="AD4" i="6"/>
  <c r="J19" i="4"/>
  <c r="I19" i="4"/>
  <c r="J18" i="4"/>
  <c r="I18" i="4"/>
  <c r="J14" i="4"/>
  <c r="I14" i="4"/>
  <c r="J13" i="4"/>
  <c r="I13" i="4"/>
  <c r="J12" i="4"/>
  <c r="I12" i="4"/>
  <c r="J11" i="4"/>
  <c r="I11" i="4"/>
  <c r="J10" i="4"/>
  <c r="I10" i="4"/>
  <c r="J9" i="4"/>
  <c r="I9" i="4"/>
  <c r="J8" i="4"/>
  <c r="I8" i="4"/>
  <c r="J7" i="4"/>
  <c r="I7" i="4"/>
  <c r="J6" i="4"/>
  <c r="AG19" i="6" s="1"/>
  <c r="AF19" i="6" s="1"/>
  <c r="I6" i="4"/>
  <c r="AE19" i="6" s="1"/>
  <c r="AD19" i="6" s="1"/>
  <c r="I4" i="4"/>
  <c r="AF15" i="6" l="1"/>
  <c r="AF16" i="6"/>
  <c r="AF8" i="6"/>
  <c r="AF7" i="6"/>
  <c r="AF6" i="6"/>
  <c r="AF5" i="6"/>
  <c r="AG26" i="6" l="1"/>
  <c r="AF26" i="6" s="1"/>
  <c r="AG28" i="6"/>
  <c r="AF28" i="6" s="1"/>
  <c r="AG29" i="6"/>
  <c r="AF29" i="6" s="1"/>
  <c r="AG30" i="6"/>
  <c r="AF30" i="6" s="1"/>
  <c r="AE26" i="6"/>
  <c r="AD26" i="6" s="1"/>
  <c r="AE28" i="6"/>
  <c r="AD28" i="6" s="1"/>
  <c r="AE29" i="6"/>
  <c r="AD29" i="6" s="1"/>
  <c r="AE30" i="6"/>
  <c r="AD30" i="6" s="1"/>
  <c r="AD5" i="6"/>
  <c r="AD6" i="6"/>
  <c r="AD7" i="6"/>
  <c r="AD8" i="6"/>
  <c r="AD9" i="6"/>
  <c r="AD10" i="6"/>
  <c r="AD11" i="6"/>
  <c r="AD12" i="6"/>
  <c r="AD13" i="6"/>
  <c r="AD14" i="6"/>
  <c r="AD15" i="6"/>
  <c r="AD16" i="6"/>
  <c r="AD17" i="6"/>
  <c r="AG32" i="6"/>
  <c r="AF32" i="6" s="1"/>
  <c r="AG31" i="6"/>
  <c r="AF31" i="6" s="1"/>
  <c r="AG27" i="6"/>
  <c r="AG25" i="6"/>
  <c r="AG20" i="6"/>
  <c r="AF20" i="6" s="1"/>
  <c r="AG21" i="6"/>
  <c r="AF21" i="6" s="1"/>
  <c r="AE32" i="6"/>
  <c r="AD32" i="6" s="1"/>
  <c r="AE31" i="6"/>
  <c r="AE27" i="6"/>
  <c r="AE25" i="6"/>
  <c r="AD25" i="6" s="1"/>
  <c r="AE24" i="6"/>
  <c r="AD24" i="6" s="1"/>
  <c r="AE23" i="6"/>
  <c r="AD23" i="6" s="1"/>
  <c r="AE22" i="6"/>
  <c r="AD22" i="6" s="1"/>
  <c r="AE21" i="6"/>
  <c r="AD21" i="6" s="1"/>
  <c r="AG24" i="6"/>
  <c r="AG23" i="6"/>
  <c r="AG22" i="6"/>
  <c r="AE20" i="6"/>
  <c r="AD20" i="6" s="1"/>
  <c r="AF25" i="6" l="1"/>
  <c r="AF27" i="6"/>
  <c r="AF24" i="6"/>
  <c r="AF22" i="6"/>
  <c r="AF23" i="6"/>
  <c r="AD27" i="6"/>
  <c r="AD31" i="6"/>
  <c r="AF4" i="6" l="1"/>
  <c r="AF9" i="6" l="1"/>
  <c r="AF10" i="6"/>
  <c r="AF11" i="6"/>
  <c r="AF12" i="6"/>
  <c r="AF13" i="6"/>
  <c r="AF14" i="6"/>
  <c r="F21" i="4"/>
</calcChain>
</file>

<file path=xl/sharedStrings.xml><?xml version="1.0" encoding="utf-8"?>
<sst xmlns="http://schemas.openxmlformats.org/spreadsheetml/2006/main" count="145" uniqueCount="48">
  <si>
    <t>&lt;0,063</t>
  </si>
  <si>
    <t># mm</t>
  </si>
  <si>
    <t>dolna</t>
  </si>
  <si>
    <t>górna</t>
  </si>
  <si>
    <t>Zawartość lepiszcza</t>
  </si>
  <si>
    <t>Bmin [%]</t>
  </si>
  <si>
    <t>-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</si>
  <si>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</si>
  <si>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</si>
  <si>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</si>
  <si>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</si>
  <si>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</si>
  <si>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</si>
  <si>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</si>
  <si>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</si>
  <si>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</si>
  <si>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</si>
  <si>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</si>
  <si>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</si>
  <si>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</si>
  <si>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</si>
  <si>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sito</t>
  </si>
  <si>
    <t>SUMA [%]</t>
  </si>
  <si>
    <t>odsiew [%]</t>
  </si>
  <si>
    <t>przesiew [%]</t>
  </si>
  <si>
    <t>rzędne krzywej proj.</t>
  </si>
  <si>
    <t>Podbudowa AC KR 1-2 0/22</t>
  </si>
  <si>
    <t>Podbudowa AC KR 1-2 0/16</t>
  </si>
  <si>
    <t>Podbudowa AC KR 3-7 0/32</t>
  </si>
  <si>
    <t>Podbudowa AC KR 3-7 0/22</t>
  </si>
  <si>
    <t>Podbudowa AC KR 3-7 0/16</t>
  </si>
  <si>
    <t>Wiążąca AC KR 1-2 0/16</t>
  </si>
  <si>
    <t>Wiążąca AC KR 1-2 0/11</t>
  </si>
  <si>
    <t>Wiążąca AC KR 3-7 0/22</t>
  </si>
  <si>
    <t>Wiążąca AC KR 3-7 0/16</t>
  </si>
  <si>
    <t>Ścieralna AC KR 1-2 0/11</t>
  </si>
  <si>
    <t>Ścieralna AC KR 1-2 0/8</t>
  </si>
  <si>
    <t>Ścieralna AC KR 1-2 0/5</t>
  </si>
  <si>
    <t>Ścieralna AC KR 3-6 0/11</t>
  </si>
  <si>
    <t>Ścieralna AC KR 3-6  0/8</t>
  </si>
  <si>
    <t>rzędne krzywej z przesiewu</t>
  </si>
  <si>
    <t>odsiew [g]</t>
  </si>
  <si>
    <t>SUMA [g]</t>
  </si>
  <si>
    <t>Masa próbki bez asfaltu [g]</t>
  </si>
  <si>
    <t>Masa próbki z asfaltem [g]</t>
  </si>
  <si>
    <t>odsiew[%]</t>
  </si>
  <si>
    <t>Zawartość asfaltu [%]</t>
  </si>
  <si>
    <t>odchylenie od warości proj. [%]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</si>
</sst>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_-* #,##0.000\ _z_ł_-;\-* #,##0.000\ _z_ł_-;_-* &quot;-&quot;??\ _z_ł_-;_-@_-"/>
    <numFmt numFmtId="165" formatCode="0.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0"/>
      <name val="Arial"/>
      <family val="2"/>
      <charset val="238"/>
    </font>
    <font>
      <sz val="9"/>
      <color theme="9" tint="-0.249977111117893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sz val="11"/>
      <color theme="9" tint="-0.24997711111789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164" fontId="4" fillId="0" borderId="0" xfId="1" applyNumberFormat="1" applyFont="1" applyFill="1" applyBorder="1" applyAlignment="1">
      <alignment horizont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1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165" fontId="7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5" fontId="7" fillId="0" borderId="0" xfId="0" applyNumberFormat="1" applyFont="1"/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/>
    </xf>
    <xf numFmtId="43" fontId="5" fillId="0" borderId="0" xfId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2" fontId="13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5" fontId="1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quotePrefix="1" applyFont="1" applyFill="1" applyBorder="1" applyAlignment="1" applyProtection="1">
      <alignment horizontal="center"/>
      <protection locked="0"/>
    </xf>
    <xf numFmtId="1" fontId="5" fillId="0" borderId="0" xfId="0" quotePrefix="1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14" fillId="0" borderId="0" xfId="0" applyNumberFormat="1" applyFont="1" applyAlignment="1">
      <alignment horizontal="center"/>
    </xf>
    <xf numFmtId="0" fontId="0" fillId="0" borderId="0" xfId="0" applyAlignment="1"/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2" fontId="10" fillId="0" borderId="0" xfId="0" applyNumberFormat="1" applyFont="1" applyAlignment="1">
      <alignment horizontal="center"/>
    </xf>
    <xf numFmtId="0" fontId="10" fillId="0" borderId="0" xfId="0" applyFont="1"/>
  </cellXfs>
  <cellStyles count="2">
    <cellStyle name="Dziesiętny" xfId="1" builtinId="3"/>
    <cellStyle name="Normalny" xfId="0" builtinId="0"/>
  </cellStyles>
  <dxfs count="1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" panose="020B0604020202020204" pitchFamily="34" charset="0"/>
              </a:defRPr>
            </a:pPr>
            <a:r>
              <a:rPr lang="pl-PL" sz="1600">
                <a:latin typeface="Arial" panose="020B0604020202020204" pitchFamily="34" charset="0"/>
                <a:cs typeface="Arial" panose="020B0604020202020204" pitchFamily="34" charset="0"/>
              </a:rPr>
              <a:t>Krzywa uziarnienia projektowanej mieszanki mineralnej</a:t>
            </a:r>
          </a:p>
        </c:rich>
      </c:tx>
      <c:layout>
        <c:manualLayout>
          <c:xMode val="edge"/>
          <c:yMode val="edge"/>
          <c:x val="0.35301871006484092"/>
          <c:y val="3.54027086178090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154059470072674E-2"/>
          <c:y val="8.7417982409519701E-2"/>
          <c:w val="0.85796847694809353"/>
          <c:h val="0.7749889207774262"/>
        </c:manualLayout>
      </c:layout>
      <c:scatterChart>
        <c:scatterStyle val="lineMarker"/>
        <c:varyColors val="0"/>
        <c:ser>
          <c:idx val="1"/>
          <c:order val="1"/>
          <c:tx>
            <c:v>  dolna krzywa graniczna</c:v>
          </c:tx>
          <c:spPr>
            <a:ln w="3175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Wykres!$AD$19:$AD$32</c:f>
              <c:numCache>
                <c:formatCode>General</c:formatCode>
                <c:ptCount val="14"/>
                <c:pt idx="0">
                  <c:v>45</c:v>
                </c:pt>
                <c:pt idx="1">
                  <c:v>31.5</c:v>
                </c:pt>
                <c:pt idx="2">
                  <c:v>22.4</c:v>
                </c:pt>
                <c:pt idx="3">
                  <c:v>16</c:v>
                </c:pt>
                <c:pt idx="4">
                  <c:v>11.2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0.125</c:v>
                </c:pt>
                <c:pt idx="13">
                  <c:v>6.3E-2</c:v>
                </c:pt>
              </c:numCache>
            </c:numRef>
          </c:xVal>
          <c:yVal>
            <c:numRef>
              <c:f>Wykres!$AE$19:$AE$32</c:f>
              <c:numCache>
                <c:formatCode>0.00</c:formatCode>
                <c:ptCount val="14"/>
                <c:pt idx="0">
                  <c:v>101</c:v>
                </c:pt>
                <c:pt idx="1">
                  <c:v>101</c:v>
                </c:pt>
                <c:pt idx="2">
                  <c:v>101</c:v>
                </c:pt>
                <c:pt idx="3">
                  <c:v>101</c:v>
                </c:pt>
                <c:pt idx="4">
                  <c:v>90</c:v>
                </c:pt>
                <c:pt idx="5">
                  <c:v>60</c:v>
                </c:pt>
                <c:pt idx="6">
                  <c:v>0</c:v>
                </c:pt>
                <c:pt idx="7">
                  <c:v>0</c:v>
                </c:pt>
                <c:pt idx="8">
                  <c:v>30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  <c:pt idx="13">
                  <c:v>3</c:v>
                </c:pt>
              </c:numCache>
            </c:numRef>
          </c:yVal>
          <c:smooth val="0"/>
        </c:ser>
        <c:ser>
          <c:idx val="2"/>
          <c:order val="2"/>
          <c:tx>
            <c:v>  górna krzywa graniczna</c:v>
          </c:tx>
          <c:spPr>
            <a:ln w="31750">
              <a:solidFill>
                <a:srgbClr val="0070C0"/>
              </a:solidFill>
              <a:prstDash val="sysDot"/>
            </a:ln>
          </c:spPr>
          <c:marker>
            <c:symbol val="none"/>
          </c:marker>
          <c:xVal>
            <c:numRef>
              <c:f>Wykres!$AF$19:$AF$32</c:f>
              <c:numCache>
                <c:formatCode>General</c:formatCode>
                <c:ptCount val="14"/>
                <c:pt idx="0">
                  <c:v>45</c:v>
                </c:pt>
                <c:pt idx="1">
                  <c:v>31.5</c:v>
                </c:pt>
                <c:pt idx="2">
                  <c:v>22.4</c:v>
                </c:pt>
                <c:pt idx="3">
                  <c:v>16</c:v>
                </c:pt>
                <c:pt idx="4">
                  <c:v>11.2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0.125</c:v>
                </c:pt>
                <c:pt idx="13">
                  <c:v>6.3E-2</c:v>
                </c:pt>
              </c:numCache>
            </c:numRef>
          </c:xVal>
          <c:yVal>
            <c:numRef>
              <c:f>Wykres!$AG$19:$AG$32</c:f>
              <c:numCache>
                <c:formatCode>0.00</c:formatCode>
                <c:ptCount val="14"/>
                <c:pt idx="0">
                  <c:v>101</c:v>
                </c:pt>
                <c:pt idx="1">
                  <c:v>101</c:v>
                </c:pt>
                <c:pt idx="2">
                  <c:v>101</c:v>
                </c:pt>
                <c:pt idx="3">
                  <c:v>101</c:v>
                </c:pt>
                <c:pt idx="4">
                  <c:v>101</c:v>
                </c:pt>
                <c:pt idx="5">
                  <c:v>85</c:v>
                </c:pt>
                <c:pt idx="6">
                  <c:v>0</c:v>
                </c:pt>
                <c:pt idx="7">
                  <c:v>0</c:v>
                </c:pt>
                <c:pt idx="8">
                  <c:v>55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24</c:v>
                </c:pt>
                <c:pt idx="13">
                  <c:v>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671290080"/>
        <c:axId val="-1671297696"/>
      </c:scatterChart>
      <c:scatterChart>
        <c:scatterStyle val="lineMarker"/>
        <c:varyColors val="0"/>
        <c:ser>
          <c:idx val="0"/>
          <c:order val="0"/>
          <c:tx>
            <c:v>uziarnienie MM przesiew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Wykres!$AD$4:$AD$17</c:f>
              <c:numCache>
                <c:formatCode>General</c:formatCode>
                <c:ptCount val="14"/>
                <c:pt idx="0">
                  <c:v>45</c:v>
                </c:pt>
                <c:pt idx="1">
                  <c:v>31.5</c:v>
                </c:pt>
                <c:pt idx="2">
                  <c:v>22.4</c:v>
                </c:pt>
                <c:pt idx="3">
                  <c:v>16</c:v>
                </c:pt>
                <c:pt idx="4">
                  <c:v>11.2</c:v>
                </c:pt>
                <c:pt idx="5">
                  <c:v>8</c:v>
                </c:pt>
                <c:pt idx="6">
                  <c:v>5.6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0.5</c:v>
                </c:pt>
                <c:pt idx="11">
                  <c:v>0.25</c:v>
                </c:pt>
                <c:pt idx="12">
                  <c:v>0.125</c:v>
                </c:pt>
                <c:pt idx="13">
                  <c:v>6.3E-2</c:v>
                </c:pt>
              </c:numCache>
            </c:numRef>
          </c:xVal>
          <c:yVal>
            <c:numRef>
              <c:f>Wykres!$AE$4:$AE$17</c:f>
              <c:numCache>
                <c:formatCode>0.00</c:formatCode>
                <c:ptCount val="14"/>
                <c:pt idx="0">
                  <c:v>-10</c:v>
                </c:pt>
                <c:pt idx="1">
                  <c:v>-10</c:v>
                </c:pt>
                <c:pt idx="2">
                  <c:v>-10</c:v>
                </c:pt>
                <c:pt idx="3">
                  <c:v>-10</c:v>
                </c:pt>
                <c:pt idx="4">
                  <c:v>1.3032581453634151</c:v>
                </c:pt>
                <c:pt idx="5">
                  <c:v>11.390977443609032</c:v>
                </c:pt>
                <c:pt idx="6">
                  <c:v>21.190476190476204</c:v>
                </c:pt>
                <c:pt idx="7">
                  <c:v>28.245614035087726</c:v>
                </c:pt>
                <c:pt idx="8">
                  <c:v>36.817042606516296</c:v>
                </c:pt>
                <c:pt idx="9">
                  <c:v>46.278195488721806</c:v>
                </c:pt>
                <c:pt idx="10">
                  <c:v>57.468671679197996</c:v>
                </c:pt>
                <c:pt idx="11">
                  <c:v>65.526315789473685</c:v>
                </c:pt>
                <c:pt idx="12">
                  <c:v>75.100250626566407</c:v>
                </c:pt>
                <c:pt idx="13">
                  <c:v>84.912280701754383</c:v>
                </c:pt>
              </c:numCache>
            </c:numRef>
          </c:yVal>
          <c:smooth val="0"/>
        </c:ser>
        <c:ser>
          <c:idx val="3"/>
          <c:order val="3"/>
          <c:tx>
            <c:v>uziarnienie projekt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Wykres!$AD$4:$AD$17</c:f>
              <c:numCache>
                <c:formatCode>General</c:formatCode>
                <c:ptCount val="14"/>
                <c:pt idx="0">
                  <c:v>45</c:v>
                </c:pt>
                <c:pt idx="1">
                  <c:v>31.5</c:v>
                </c:pt>
                <c:pt idx="2">
                  <c:v>22.4</c:v>
                </c:pt>
                <c:pt idx="3">
                  <c:v>16</c:v>
                </c:pt>
                <c:pt idx="4">
                  <c:v>11.2</c:v>
                </c:pt>
                <c:pt idx="5">
                  <c:v>8</c:v>
                </c:pt>
                <c:pt idx="6">
                  <c:v>5.6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0.5</c:v>
                </c:pt>
                <c:pt idx="11">
                  <c:v>0.25</c:v>
                </c:pt>
                <c:pt idx="12">
                  <c:v>0.125</c:v>
                </c:pt>
                <c:pt idx="13">
                  <c:v>6.3E-2</c:v>
                </c:pt>
              </c:numCache>
            </c:numRef>
          </c:xVal>
          <c:yVal>
            <c:numRef>
              <c:f>Wykres!$AF$4:$AF$17</c:f>
              <c:numCache>
                <c:formatCode>0.00</c:formatCode>
                <c:ptCount val="14"/>
                <c:pt idx="0">
                  <c:v>-10</c:v>
                </c:pt>
                <c:pt idx="1">
                  <c:v>-10</c:v>
                </c:pt>
                <c:pt idx="2">
                  <c:v>-10</c:v>
                </c:pt>
                <c:pt idx="3">
                  <c:v>-10</c:v>
                </c:pt>
                <c:pt idx="4">
                  <c:v>4.5999999999999943</c:v>
                </c:pt>
                <c:pt idx="5">
                  <c:v>23.299999999999997</c:v>
                </c:pt>
                <c:pt idx="6">
                  <c:v>34.700000000000003</c:v>
                </c:pt>
                <c:pt idx="7">
                  <c:v>46.8</c:v>
                </c:pt>
                <c:pt idx="8">
                  <c:v>55.8</c:v>
                </c:pt>
                <c:pt idx="9">
                  <c:v>67.900000000000006</c:v>
                </c:pt>
                <c:pt idx="10">
                  <c:v>78.400000000000006</c:v>
                </c:pt>
                <c:pt idx="11">
                  <c:v>88.8</c:v>
                </c:pt>
                <c:pt idx="12">
                  <c:v>91.2</c:v>
                </c:pt>
                <c:pt idx="13">
                  <c:v>92.5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671297152"/>
        <c:axId val="-1671286272"/>
      </c:scatterChart>
      <c:valAx>
        <c:axId val="-1671290080"/>
        <c:scaling>
          <c:logBase val="10"/>
          <c:orientation val="minMax"/>
          <c:max val="100"/>
          <c:min val="0.01"/>
        </c:scaling>
        <c:delete val="1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 CE"/>
                    <a:cs typeface="Arial" panose="020B0604020202020204" pitchFamily="34" charset="0"/>
                  </a:defRPr>
                </a:pPr>
                <a:r>
                  <a:rPr lang="pl-PL" sz="1600">
                    <a:latin typeface="Arial" panose="020B0604020202020204" pitchFamily="34" charset="0"/>
                    <a:cs typeface="Arial" panose="020B0604020202020204" pitchFamily="34" charset="0"/>
                  </a:rPr>
                  <a:t>sito # mm</a:t>
                </a:r>
              </a:p>
            </c:rich>
          </c:tx>
          <c:layout>
            <c:manualLayout>
              <c:xMode val="edge"/>
              <c:yMode val="edge"/>
              <c:x val="0.51477190993799293"/>
              <c:y val="0.910205040569305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-1671297696"/>
        <c:crossesAt val="0.01"/>
        <c:crossBetween val="midCat"/>
        <c:majorUnit val="10"/>
        <c:minorUnit val="10"/>
      </c:valAx>
      <c:valAx>
        <c:axId val="-167129769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 sz="1600">
                    <a:latin typeface="Arial" panose="020B0604020202020204" pitchFamily="34" charset="0"/>
                    <a:cs typeface="Arial" panose="020B0604020202020204" pitchFamily="34" charset="0"/>
                  </a:rPr>
                  <a:t>Przechodzi</a:t>
                </a:r>
                <a:r>
                  <a:rPr lang="pl-PL" sz="16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przez sito , </a:t>
                </a:r>
                <a:r>
                  <a:rPr lang="pl-PL" sz="1600">
                    <a:latin typeface="Arial" panose="020B0604020202020204" pitchFamily="34" charset="0"/>
                    <a:cs typeface="Arial" panose="020B0604020202020204" pitchFamily="34" charset="0"/>
                  </a:rPr>
                  <a:t>% m/m</a:t>
                </a:r>
              </a:p>
            </c:rich>
          </c:tx>
          <c:layout>
            <c:manualLayout>
              <c:xMode val="edge"/>
              <c:yMode val="edge"/>
              <c:x val="7.890141624327808E-3"/>
              <c:y val="0.3165170085826499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" panose="020B0604020202020204" pitchFamily="34" charset="0"/>
              </a:defRPr>
            </a:pPr>
            <a:endParaRPr lang="pl-PL"/>
          </a:p>
        </c:txPr>
        <c:crossAx val="-1671290080"/>
        <c:crossesAt val="0.01"/>
        <c:crossBetween val="midCat"/>
        <c:majorUnit val="10"/>
        <c:minorUnit val="5"/>
      </c:valAx>
      <c:valAx>
        <c:axId val="-1671297152"/>
        <c:scaling>
          <c:logBase val="10"/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-1671286272"/>
        <c:crosses val="autoZero"/>
        <c:crossBetween val="midCat"/>
      </c:valAx>
      <c:valAx>
        <c:axId val="-1671286272"/>
        <c:scaling>
          <c:orientation val="maxMin"/>
          <c:max val="1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pl-PL" sz="1600" b="1" baseline="0">
                    <a:latin typeface="Arial" panose="020B0604020202020204" pitchFamily="34" charset="0"/>
                    <a:cs typeface="Arial" panose="020B0604020202020204" pitchFamily="34" charset="0"/>
                  </a:rPr>
                  <a:t>Pozostaje na sicie , % m/m</a:t>
                </a:r>
                <a:endParaRPr lang="pl-PL" sz="1600" b="1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96610968294772925"/>
              <c:y val="0.32728345093934907"/>
            </c:manualLayout>
          </c:layout>
          <c:overlay val="0"/>
        </c:title>
        <c:numFmt formatCode="0.00" sourceLinked="1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" panose="020B0604020202020204" pitchFamily="34" charset="0"/>
              </a:defRPr>
            </a:pPr>
            <a:endParaRPr lang="pl-PL"/>
          </a:p>
        </c:txPr>
        <c:crossAx val="-1671297152"/>
        <c:crosses val="max"/>
        <c:crossBetween val="midCat"/>
        <c:majorUnit val="10"/>
        <c:minorUnit val="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17588675451559"/>
          <c:y val="0.94930125946094746"/>
          <c:w val="0.6065216012522856"/>
          <c:h val="2.43858458502656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Arial CE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span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/>
    <c:pageMargins b="0.98425196850393704" l="0.98425196850393704" r="0.98425196850393704" t="0.98425196850393704" header="0.31889763779527569" footer="0.3937007874015748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12168" y="203337"/>
    <xdr:ext cx="14820900" cy="9172575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0.54912</cdr:x>
      <cdr:y>0.87886</cdr:y>
    </cdr:from>
    <cdr:to>
      <cdr:x>0.56418</cdr:x>
      <cdr:y>0.90017</cdr:y>
    </cdr:to>
    <cdr:sp macro="" textlink="">
      <cdr:nvSpPr>
        <cdr:cNvPr id="10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38379" y="8061417"/>
          <a:ext cx="223203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12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2,0</a:t>
          </a:r>
        </a:p>
      </cdr:txBody>
    </cdr:sp>
  </cdr:relSizeAnchor>
  <cdr:relSizeAnchor xmlns:cdr="http://schemas.openxmlformats.org/drawingml/2006/chartDrawing">
    <cdr:from>
      <cdr:x>0.22181</cdr:x>
      <cdr:y>0.88013</cdr:y>
    </cdr:from>
    <cdr:to>
      <cdr:x>0.24842</cdr:x>
      <cdr:y>0.90144</cdr:y>
    </cdr:to>
    <cdr:sp macro="" textlink="">
      <cdr:nvSpPr>
        <cdr:cNvPr id="103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7448" y="8073042"/>
          <a:ext cx="394403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12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0,063</a:t>
          </a:r>
          <a:endParaRPr lang="pl-PL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0.41939</cdr:x>
      <cdr:y>0.87976</cdr:y>
    </cdr:from>
    <cdr:to>
      <cdr:x>0.43445</cdr:x>
      <cdr:y>0.90108</cdr:y>
    </cdr:to>
    <cdr:sp macro="" textlink="">
      <cdr:nvSpPr>
        <cdr:cNvPr id="1039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15776" y="8069708"/>
          <a:ext cx="223203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12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0,5</a:t>
          </a:r>
        </a:p>
      </cdr:txBody>
    </cdr:sp>
  </cdr:relSizeAnchor>
  <cdr:relSizeAnchor xmlns:cdr="http://schemas.openxmlformats.org/drawingml/2006/chartDrawing">
    <cdr:from>
      <cdr:x>0.61306</cdr:x>
      <cdr:y>0.88017</cdr:y>
    </cdr:from>
    <cdr:to>
      <cdr:x>0.62812</cdr:x>
      <cdr:y>0.90148</cdr:y>
    </cdr:to>
    <cdr:sp macro="" textlink="">
      <cdr:nvSpPr>
        <cdr:cNvPr id="10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86174" y="8073413"/>
          <a:ext cx="223203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12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4,0</a:t>
          </a:r>
        </a:p>
      </cdr:txBody>
    </cdr:sp>
  </cdr:relSizeAnchor>
  <cdr:relSizeAnchor xmlns:cdr="http://schemas.openxmlformats.org/drawingml/2006/chartDrawing">
    <cdr:from>
      <cdr:x>0.34946</cdr:x>
      <cdr:y>0.87976</cdr:y>
    </cdr:from>
    <cdr:to>
      <cdr:x>0.3703</cdr:x>
      <cdr:y>0.90108</cdr:y>
    </cdr:to>
    <cdr:sp macro="" textlink="">
      <cdr:nvSpPr>
        <cdr:cNvPr id="1041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79324" y="8069708"/>
          <a:ext cx="308802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12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0,25</a:t>
          </a:r>
        </a:p>
      </cdr:txBody>
    </cdr:sp>
  </cdr:relSizeAnchor>
  <cdr:relSizeAnchor xmlns:cdr="http://schemas.openxmlformats.org/drawingml/2006/chartDrawing">
    <cdr:from>
      <cdr:x>0.28095</cdr:x>
      <cdr:y>0.87955</cdr:y>
    </cdr:from>
    <cdr:to>
      <cdr:x>0.30756</cdr:x>
      <cdr:y>0.90087</cdr:y>
    </cdr:to>
    <cdr:sp macro="" textlink="">
      <cdr:nvSpPr>
        <cdr:cNvPr id="10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63928" y="8067749"/>
          <a:ext cx="394403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12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0,125</a:t>
          </a:r>
        </a:p>
      </cdr:txBody>
    </cdr:sp>
  </cdr:relSizeAnchor>
  <cdr:relSizeAnchor xmlns:cdr="http://schemas.openxmlformats.org/drawingml/2006/chartDrawing">
    <cdr:from>
      <cdr:x>0.74283</cdr:x>
      <cdr:y>0.87971</cdr:y>
    </cdr:from>
    <cdr:to>
      <cdr:x>0.76367</cdr:x>
      <cdr:y>0.90102</cdr:y>
    </cdr:to>
    <cdr:sp macro="" textlink="">
      <cdr:nvSpPr>
        <cdr:cNvPr id="1044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09433" y="8069177"/>
          <a:ext cx="308802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12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16,0</a:t>
          </a:r>
        </a:p>
      </cdr:txBody>
    </cdr:sp>
  </cdr:relSizeAnchor>
  <cdr:relSizeAnchor xmlns:cdr="http://schemas.openxmlformats.org/drawingml/2006/chartDrawing">
    <cdr:from>
      <cdr:x>0.70652</cdr:x>
      <cdr:y>0.87886</cdr:y>
    </cdr:from>
    <cdr:to>
      <cdr:x>0.72736</cdr:x>
      <cdr:y>0.90017</cdr:y>
    </cdr:to>
    <cdr:sp macro="" textlink="">
      <cdr:nvSpPr>
        <cdr:cNvPr id="104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71261" y="8061417"/>
          <a:ext cx="308802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12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11,2</a:t>
          </a:r>
        </a:p>
      </cdr:txBody>
    </cdr:sp>
  </cdr:relSizeAnchor>
  <cdr:relSizeAnchor xmlns:cdr="http://schemas.openxmlformats.org/drawingml/2006/chartDrawing">
    <cdr:from>
      <cdr:x>0.67831</cdr:x>
      <cdr:y>0.88016</cdr:y>
    </cdr:from>
    <cdr:to>
      <cdr:x>0.69337</cdr:x>
      <cdr:y>0.90147</cdr:y>
    </cdr:to>
    <cdr:sp macro="" textlink="">
      <cdr:nvSpPr>
        <cdr:cNvPr id="1046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53095" y="8073323"/>
          <a:ext cx="223203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12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8,0</a:t>
          </a:r>
        </a:p>
      </cdr:txBody>
    </cdr:sp>
  </cdr:relSizeAnchor>
  <cdr:relSizeAnchor xmlns:cdr="http://schemas.openxmlformats.org/drawingml/2006/chartDrawing">
    <cdr:from>
      <cdr:x>0.64589</cdr:x>
      <cdr:y>0.88016</cdr:y>
    </cdr:from>
    <cdr:to>
      <cdr:x>0.66095</cdr:x>
      <cdr:y>0.90147</cdr:y>
    </cdr:to>
    <cdr:sp macro="" textlink="">
      <cdr:nvSpPr>
        <cdr:cNvPr id="1047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72673" y="8073323"/>
          <a:ext cx="223203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12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5,6</a:t>
          </a:r>
        </a:p>
      </cdr:txBody>
    </cdr:sp>
  </cdr:relSizeAnchor>
  <cdr:relSizeAnchor xmlns:cdr="http://schemas.openxmlformats.org/drawingml/2006/chartDrawing">
    <cdr:from>
      <cdr:x>0.8056</cdr:x>
      <cdr:y>0.87912</cdr:y>
    </cdr:from>
    <cdr:to>
      <cdr:x>0.82643</cdr:x>
      <cdr:y>0.90043</cdr:y>
    </cdr:to>
    <cdr:sp macro="" textlink="">
      <cdr:nvSpPr>
        <cdr:cNvPr id="1048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939691" y="8063755"/>
          <a:ext cx="308802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12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31,5</a:t>
          </a:r>
        </a:p>
      </cdr:txBody>
    </cdr:sp>
  </cdr:relSizeAnchor>
  <cdr:relSizeAnchor xmlns:cdr="http://schemas.openxmlformats.org/drawingml/2006/chartDrawing">
    <cdr:from>
      <cdr:x>0.83751</cdr:x>
      <cdr:y>0.87971</cdr:y>
    </cdr:from>
    <cdr:to>
      <cdr:x>0.85835</cdr:x>
      <cdr:y>0.90102</cdr:y>
    </cdr:to>
    <cdr:sp macro="" textlink="">
      <cdr:nvSpPr>
        <cdr:cNvPr id="1049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12684" y="8069177"/>
          <a:ext cx="308802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12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45,0</a:t>
          </a:r>
        </a:p>
      </cdr:txBody>
    </cdr:sp>
  </cdr:relSizeAnchor>
  <cdr:relSizeAnchor xmlns:cdr="http://schemas.openxmlformats.org/drawingml/2006/chartDrawing">
    <cdr:from>
      <cdr:x>0.76974</cdr:x>
      <cdr:y>0.87906</cdr:y>
    </cdr:from>
    <cdr:to>
      <cdr:x>0.79058</cdr:x>
      <cdr:y>0.90037</cdr:y>
    </cdr:to>
    <cdr:sp macro="" textlink="">
      <cdr:nvSpPr>
        <cdr:cNvPr id="1050" name="Text Box 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08265" y="8063224"/>
          <a:ext cx="308802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12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22,4</a:t>
          </a:r>
        </a:p>
      </cdr:txBody>
    </cdr:sp>
  </cdr:relSizeAnchor>
  <cdr:relSizeAnchor xmlns:cdr="http://schemas.openxmlformats.org/drawingml/2006/chartDrawing">
    <cdr:from>
      <cdr:x>0.48423</cdr:x>
      <cdr:y>0.87911</cdr:y>
    </cdr:from>
    <cdr:to>
      <cdr:x>0.49929</cdr:x>
      <cdr:y>0.90042</cdr:y>
    </cdr:to>
    <cdr:sp macro="" textlink="">
      <cdr:nvSpPr>
        <cdr:cNvPr id="86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6690" y="8063706"/>
          <a:ext cx="223203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l-PL" sz="12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1,0</a:t>
          </a:r>
        </a:p>
      </cdr:txBody>
    </cdr:sp>
  </cdr:relSizeAnchor>
  <cdr:relSizeAnchor xmlns:cdr="http://schemas.openxmlformats.org/drawingml/2006/chartDrawing">
    <cdr:from>
      <cdr:x>0.06586</cdr:x>
      <cdr:y>0.08832</cdr:y>
    </cdr:from>
    <cdr:to>
      <cdr:x>0.22891</cdr:x>
      <cdr:y>0.86049</cdr:y>
    </cdr:to>
    <cdr:sp macro="" textlink="">
      <cdr:nvSpPr>
        <cdr:cNvPr id="1034" name="Prostokąt 1033"/>
        <cdr:cNvSpPr/>
      </cdr:nvSpPr>
      <cdr:spPr>
        <a:xfrm xmlns:a="http://schemas.openxmlformats.org/drawingml/2006/main">
          <a:off x="976125" y="810123"/>
          <a:ext cx="2416537" cy="708279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0.83679</cdr:x>
      <cdr:y>0.08879</cdr:y>
    </cdr:from>
    <cdr:to>
      <cdr:x>0.91867</cdr:x>
      <cdr:y>0.85988</cdr:y>
    </cdr:to>
    <cdr:sp macro="" textlink="">
      <cdr:nvSpPr>
        <cdr:cNvPr id="90" name="Prostokąt 89"/>
        <cdr:cNvSpPr/>
      </cdr:nvSpPr>
      <cdr:spPr>
        <a:xfrm xmlns:a="http://schemas.openxmlformats.org/drawingml/2006/main">
          <a:off x="12401990" y="814477"/>
          <a:ext cx="1213471" cy="707283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pl-PL"/>
        </a:p>
      </cdr:txBody>
    </cdr:sp>
  </cdr:relSizeAnchor>
</c:userShapes>
</file>

<file path=xl/tables/table1.xml><?xml version="1.0" encoding="utf-8"?>
<table xmlns="http://schemas.openxmlformats.org/spreadsheetml/2006/main" id="25" name="Tabela25" displayName="Tabela25" ref="C2:C32" totalsRowShown="0" headerRowDxfId="13">
  <autoFilter ref="C2:C32"/>
  <tableColumns count="1">
    <tableColumn id="1" name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6" name="Tabela26" displayName="Tabela26" ref="D2:D32" totalsRowShown="0" headerRowDxfId="12">
  <autoFilter ref="D2:D32"/>
  <tableColumns count="1">
    <tableColumn id="1" name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7" name="Tabela27" displayName="Tabela27" ref="E2:E32" totalsRowShown="0" headerRowDxfId="11">
  <autoFilter ref="E2:E32"/>
  <tableColumns count="1">
    <tableColumn id="1" name="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8" name="Tabela28" displayName="Tabela28" ref="F2:F32" totalsRowShown="0" headerRowDxfId="10">
  <autoFilter ref="F2:F32"/>
  <tableColumns count="1">
    <tableColumn id="1" name="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29" name="Tabela29" displayName="Tabela29" ref="G2:G32" totalsRowShown="0" headerRowDxfId="9">
  <autoFilter ref="G2:G32"/>
  <tableColumns count="1">
    <tableColumn id="1" name="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30" name="Tabela30" displayName="Tabela30" ref="H2:H32" totalsRowShown="0" headerRowDxfId="8">
  <autoFilter ref="H2:H32"/>
  <tableColumns count="1">
    <tableColumn id="1" name="6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31" name="Tabela31" displayName="Tabela31" ref="I2:I32" totalsRowShown="0" headerRowDxfId="7">
  <autoFilter ref="I2:I32"/>
  <tableColumns count="1">
    <tableColumn id="1" name="7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32" name="Tabela32" displayName="Tabela32" ref="J2:J32" totalsRowShown="0" headerRowDxfId="6">
  <autoFilter ref="J2:J32"/>
  <tableColumns count="1">
    <tableColumn id="1" name="8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33" name="Tabela33" displayName="Tabela33" ref="K2:K32" totalsRowShown="0" headerRowDxfId="5">
  <autoFilter ref="K2:K32"/>
  <tableColumns count="1">
    <tableColumn id="1" name="9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34" name="Tabela34" displayName="Tabela34" ref="L2:L32" totalsRowShown="0" headerRowDxfId="4">
  <autoFilter ref="L2:L32"/>
  <tableColumns count="1">
    <tableColumn id="1" name="10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35" name="Tabela35" displayName="Tabela35" ref="M2:M32" totalsRowShown="0" headerRowDxfId="3">
  <autoFilter ref="M2:M32"/>
  <tableColumns count="1">
    <tableColumn id="1" name="11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36" name="Tabela36" displayName="Tabela36" ref="N2:N32" totalsRowShown="0" headerRowDxfId="2">
  <autoFilter ref="N2:N32"/>
  <tableColumns count="1">
    <tableColumn id="1" name="12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37" name="Tabela37" displayName="Tabela37" ref="O2:O32" totalsRowShown="0" headerRowDxfId="1">
  <autoFilter ref="O2:O32"/>
  <tableColumns count="1">
    <tableColumn id="1" name="13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38" name="Tabela38" displayName="Tabela38" ref="P2:P32" totalsRowShown="0" headerRowDxfId="0">
  <autoFilter ref="P2:P32"/>
  <tableColumns count="1">
    <tableColumn id="1" name="1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9"/>
  <sheetViews>
    <sheetView tabSelected="1" workbookViewId="0"/>
  </sheetViews>
  <sheetFormatPr defaultRowHeight="15" x14ac:dyDescent="0.25"/>
  <cols>
    <col min="2" max="8" width="15.7109375" customWidth="1"/>
    <col min="9" max="10" width="12.7109375" customWidth="1"/>
  </cols>
  <sheetData>
    <row r="1" spans="2:11" x14ac:dyDescent="0.25">
      <c r="D1" s="16"/>
      <c r="E1" s="16"/>
      <c r="F1" s="16"/>
    </row>
    <row r="2" spans="2:11" ht="15" customHeight="1" x14ac:dyDescent="0.25">
      <c r="D2" s="16"/>
      <c r="E2" s="16"/>
      <c r="F2" s="16"/>
    </row>
    <row r="3" spans="2:11" ht="15" customHeight="1" x14ac:dyDescent="0.25">
      <c r="D3" s="16"/>
      <c r="E3" s="7"/>
      <c r="F3" s="7"/>
      <c r="G3" s="7"/>
      <c r="H3" s="7"/>
      <c r="I3" s="8" t="s">
        <v>13</v>
      </c>
      <c r="J3" s="7"/>
      <c r="K3" s="7"/>
    </row>
    <row r="4" spans="2:11" x14ac:dyDescent="0.25">
      <c r="B4" s="18"/>
      <c r="C4" s="35" t="s">
        <v>25</v>
      </c>
      <c r="D4" s="35"/>
      <c r="E4" s="18"/>
      <c r="F4" s="18"/>
      <c r="G4" s="35" t="s">
        <v>40</v>
      </c>
      <c r="H4" s="35"/>
      <c r="I4" s="7" t="str">
        <f>HLOOKUP($I$3,'Krzywe gran. + zaw. asf. WT-2'!C2:P30,2,FALSE)</f>
        <v>Wiążąca AC KR 1-2 0/11</v>
      </c>
      <c r="J4" s="7"/>
      <c r="K4" s="7"/>
    </row>
    <row r="5" spans="2:11" x14ac:dyDescent="0.25">
      <c r="B5" s="19" t="s">
        <v>21</v>
      </c>
      <c r="C5" s="8" t="s">
        <v>23</v>
      </c>
      <c r="D5" s="8" t="s">
        <v>24</v>
      </c>
      <c r="E5" s="19" t="s">
        <v>21</v>
      </c>
      <c r="F5" s="8" t="s">
        <v>41</v>
      </c>
      <c r="G5" s="8" t="s">
        <v>45</v>
      </c>
      <c r="H5" s="8" t="s">
        <v>24</v>
      </c>
      <c r="I5" s="8" t="s">
        <v>2</v>
      </c>
      <c r="J5" s="8" t="s">
        <v>3</v>
      </c>
      <c r="K5" s="7"/>
    </row>
    <row r="6" spans="2:11" x14ac:dyDescent="0.25">
      <c r="B6" s="20">
        <v>45</v>
      </c>
      <c r="C6" s="36">
        <f>100-D6</f>
        <v>0</v>
      </c>
      <c r="D6" s="29">
        <v>100</v>
      </c>
      <c r="E6" s="20">
        <v>45</v>
      </c>
      <c r="F6" s="29">
        <v>0</v>
      </c>
      <c r="G6" s="36">
        <f t="shared" ref="G6:G19" si="0">F6*(100/$F$21)</f>
        <v>0</v>
      </c>
      <c r="H6" s="40">
        <f t="shared" ref="H6:H17" si="1">H7+G7</f>
        <v>100</v>
      </c>
      <c r="I6" s="12">
        <f>HLOOKUP($I$3,'Krzywe gran. + zaw. asf. WT-2'!$C$2:$P$32,5,FALSE)</f>
        <v>100</v>
      </c>
      <c r="J6" s="12">
        <f>HLOOKUP($I$3,'Krzywe gran. + zaw. asf. WT-2'!$C$2:$P$32,18,FALSE)</f>
        <v>100</v>
      </c>
      <c r="K6" s="7"/>
    </row>
    <row r="7" spans="2:11" x14ac:dyDescent="0.25">
      <c r="B7" s="20">
        <v>31.5</v>
      </c>
      <c r="C7" s="36">
        <f>D6-D7</f>
        <v>0</v>
      </c>
      <c r="D7" s="29">
        <v>100</v>
      </c>
      <c r="E7" s="20">
        <v>31.5</v>
      </c>
      <c r="F7" s="29">
        <v>0</v>
      </c>
      <c r="G7" s="36">
        <f t="shared" si="0"/>
        <v>0</v>
      </c>
      <c r="H7" s="40">
        <f t="shared" si="1"/>
        <v>100</v>
      </c>
      <c r="I7" s="12">
        <f>HLOOKUP($I$3,'Krzywe gran. + zaw. asf. WT-2'!$C$2:$P$32,6,FALSE)</f>
        <v>100</v>
      </c>
      <c r="J7" s="12">
        <f>HLOOKUP($I$3,'Krzywe gran. + zaw. asf. WT-2'!$C$2:$P$32,19,FALSE)</f>
        <v>100</v>
      </c>
      <c r="K7" s="7"/>
    </row>
    <row r="8" spans="2:11" x14ac:dyDescent="0.25">
      <c r="B8" s="20">
        <v>22.4</v>
      </c>
      <c r="C8" s="36">
        <f>D7-D8</f>
        <v>0</v>
      </c>
      <c r="D8" s="29">
        <v>100</v>
      </c>
      <c r="E8" s="20">
        <v>22.4</v>
      </c>
      <c r="F8" s="29">
        <v>0</v>
      </c>
      <c r="G8" s="36">
        <f t="shared" si="0"/>
        <v>0</v>
      </c>
      <c r="H8" s="40">
        <f t="shared" si="1"/>
        <v>100</v>
      </c>
      <c r="I8" s="12">
        <f>HLOOKUP($I$3,'Krzywe gran. + zaw. asf. WT-2'!$C$2:$P$32,7,FALSE)</f>
        <v>100</v>
      </c>
      <c r="J8" s="12">
        <f>HLOOKUP($I$3,'Krzywe gran. + zaw. asf. WT-2'!$C$2:$P$32,20,FALSE)</f>
        <v>100</v>
      </c>
      <c r="K8" s="7"/>
    </row>
    <row r="9" spans="2:11" x14ac:dyDescent="0.25">
      <c r="B9" s="20">
        <v>16</v>
      </c>
      <c r="C9" s="36">
        <f t="shared" ref="C9:C18" si="2">D8-D9</f>
        <v>0</v>
      </c>
      <c r="D9" s="29">
        <v>100</v>
      </c>
      <c r="E9" s="20">
        <v>16</v>
      </c>
      <c r="F9" s="29">
        <v>0</v>
      </c>
      <c r="G9" s="36">
        <f t="shared" si="0"/>
        <v>0</v>
      </c>
      <c r="H9" s="40">
        <f t="shared" si="1"/>
        <v>100</v>
      </c>
      <c r="I9" s="12">
        <f>HLOOKUP($I$3,'Krzywe gran. + zaw. asf. WT-2'!$C$2:$P$32,8,FALSE)</f>
        <v>100</v>
      </c>
      <c r="J9" s="12">
        <f>HLOOKUP($I$3,'Krzywe gran. + zaw. asf. WT-2'!$C$2:$P$32,21,FALSE)</f>
        <v>100</v>
      </c>
      <c r="K9" s="7"/>
    </row>
    <row r="10" spans="2:11" x14ac:dyDescent="0.25">
      <c r="B10" s="20">
        <v>11.2</v>
      </c>
      <c r="C10" s="36">
        <f>D9-D10</f>
        <v>4.5999999999999943</v>
      </c>
      <c r="D10" s="29">
        <v>95.4</v>
      </c>
      <c r="E10" s="20">
        <v>11.2</v>
      </c>
      <c r="F10" s="29">
        <v>10.4</v>
      </c>
      <c r="G10" s="36">
        <f t="shared" si="0"/>
        <v>1.3032581453634084</v>
      </c>
      <c r="H10" s="40">
        <f t="shared" si="1"/>
        <v>98.696741854636585</v>
      </c>
      <c r="I10" s="12">
        <f>HLOOKUP($I$3,'Krzywe gran. + zaw. asf. WT-2'!$C$2:$P$32,9,FALSE)</f>
        <v>90</v>
      </c>
      <c r="J10" s="12">
        <f>HLOOKUP($I$3,'Krzywe gran. + zaw. asf. WT-2'!$C$2:$P$32,22,FALSE)</f>
        <v>100</v>
      </c>
      <c r="K10" s="7"/>
    </row>
    <row r="11" spans="2:11" x14ac:dyDescent="0.25">
      <c r="B11" s="20">
        <v>8</v>
      </c>
      <c r="C11" s="36">
        <f>D10-D11</f>
        <v>18.700000000000003</v>
      </c>
      <c r="D11" s="29">
        <v>76.7</v>
      </c>
      <c r="E11" s="20">
        <v>8</v>
      </c>
      <c r="F11" s="29">
        <v>80.5</v>
      </c>
      <c r="G11" s="36">
        <f t="shared" si="0"/>
        <v>10.087719298245613</v>
      </c>
      <c r="H11" s="40">
        <f t="shared" si="1"/>
        <v>88.609022556390968</v>
      </c>
      <c r="I11" s="12">
        <f>HLOOKUP($I$3,'Krzywe gran. + zaw. asf. WT-2'!$C$2:$P$32,10,FALSE)</f>
        <v>60</v>
      </c>
      <c r="J11" s="12">
        <f>HLOOKUP($I$3,'Krzywe gran. + zaw. asf. WT-2'!$C$2:$P$32,23,FALSE)</f>
        <v>85</v>
      </c>
      <c r="K11" s="7"/>
    </row>
    <row r="12" spans="2:11" x14ac:dyDescent="0.25">
      <c r="B12" s="20">
        <v>5.6</v>
      </c>
      <c r="C12" s="36">
        <f>D11-D12</f>
        <v>11.400000000000006</v>
      </c>
      <c r="D12" s="29">
        <v>65.3</v>
      </c>
      <c r="E12" s="20">
        <v>5.6</v>
      </c>
      <c r="F12" s="29">
        <v>78.2</v>
      </c>
      <c r="G12" s="36">
        <f t="shared" si="0"/>
        <v>9.799498746867167</v>
      </c>
      <c r="H12" s="40">
        <f t="shared" si="1"/>
        <v>78.809523809523796</v>
      </c>
      <c r="I12" s="12" t="str">
        <f>HLOOKUP($I$3,'Krzywe gran. + zaw. asf. WT-2'!$C$2:$P$32,11,FALSE)</f>
        <v>-</v>
      </c>
      <c r="J12" s="12" t="str">
        <f>HLOOKUP($I$3,'Krzywe gran. + zaw. asf. WT-2'!$C$2:$P$32,24,FALSE)</f>
        <v>-</v>
      </c>
      <c r="K12" s="7"/>
    </row>
    <row r="13" spans="2:11" x14ac:dyDescent="0.25">
      <c r="B13" s="20">
        <v>4</v>
      </c>
      <c r="C13" s="36">
        <f t="shared" si="2"/>
        <v>12.099999999999994</v>
      </c>
      <c r="D13" s="29">
        <v>53.2</v>
      </c>
      <c r="E13" s="20">
        <v>4</v>
      </c>
      <c r="F13" s="29">
        <v>56.3</v>
      </c>
      <c r="G13" s="36">
        <f t="shared" si="0"/>
        <v>7.0551378446115285</v>
      </c>
      <c r="H13" s="40">
        <f t="shared" si="1"/>
        <v>71.754385964912274</v>
      </c>
      <c r="I13" s="12" t="str">
        <f>HLOOKUP($I$3,'Krzywe gran. + zaw. asf. WT-2'!$C$2:$P$32,12,FALSE)</f>
        <v>-</v>
      </c>
      <c r="J13" s="12" t="str">
        <f>HLOOKUP($I$3,'Krzywe gran. + zaw. asf. WT-2'!$C$2:$P$32,25,FALSE)</f>
        <v>-</v>
      </c>
      <c r="K13" s="7"/>
    </row>
    <row r="14" spans="2:11" x14ac:dyDescent="0.25">
      <c r="B14" s="20">
        <v>2</v>
      </c>
      <c r="C14" s="36">
        <f>D13-D14</f>
        <v>9</v>
      </c>
      <c r="D14" s="29">
        <v>44.2</v>
      </c>
      <c r="E14" s="20">
        <v>2</v>
      </c>
      <c r="F14" s="29">
        <v>68.400000000000006</v>
      </c>
      <c r="G14" s="36">
        <f t="shared" si="0"/>
        <v>8.5714285714285712</v>
      </c>
      <c r="H14" s="40">
        <f t="shared" si="1"/>
        <v>63.182957393483704</v>
      </c>
      <c r="I14" s="12">
        <f>HLOOKUP($I$3,'Krzywe gran. + zaw. asf. WT-2'!$C$2:$P$32,13,FALSE)</f>
        <v>30</v>
      </c>
      <c r="J14" s="12">
        <f>HLOOKUP($I$3,'Krzywe gran. + zaw. asf. WT-2'!$C$2:$P$32,26,FALSE)</f>
        <v>55</v>
      </c>
      <c r="K14" s="7"/>
    </row>
    <row r="15" spans="2:11" x14ac:dyDescent="0.25">
      <c r="B15" s="20">
        <v>1</v>
      </c>
      <c r="C15" s="36">
        <f>D14-D15</f>
        <v>12.100000000000001</v>
      </c>
      <c r="D15" s="29">
        <v>32.1</v>
      </c>
      <c r="E15" s="20">
        <v>1</v>
      </c>
      <c r="F15" s="29">
        <v>75.5</v>
      </c>
      <c r="G15" s="36">
        <f t="shared" si="0"/>
        <v>9.4611528822055124</v>
      </c>
      <c r="H15" s="40">
        <f t="shared" si="1"/>
        <v>53.721804511278194</v>
      </c>
      <c r="I15" s="12" t="s">
        <v>6</v>
      </c>
      <c r="J15" s="12" t="s">
        <v>6</v>
      </c>
      <c r="K15" s="7"/>
    </row>
    <row r="16" spans="2:11" x14ac:dyDescent="0.25">
      <c r="B16" s="20">
        <v>0.5</v>
      </c>
      <c r="C16" s="36">
        <f t="shared" si="2"/>
        <v>10.5</v>
      </c>
      <c r="D16" s="29">
        <v>21.6</v>
      </c>
      <c r="E16" s="20">
        <v>0.5</v>
      </c>
      <c r="F16" s="29">
        <v>89.3</v>
      </c>
      <c r="G16" s="36">
        <f t="shared" si="0"/>
        <v>11.19047619047619</v>
      </c>
      <c r="H16" s="40">
        <f t="shared" si="1"/>
        <v>42.531328320802004</v>
      </c>
      <c r="I16" s="12" t="s">
        <v>6</v>
      </c>
      <c r="J16" s="12" t="s">
        <v>6</v>
      </c>
      <c r="K16" s="7"/>
    </row>
    <row r="17" spans="2:11" x14ac:dyDescent="0.25">
      <c r="B17" s="20">
        <v>0.25</v>
      </c>
      <c r="C17" s="36">
        <f>D16-D17</f>
        <v>10.400000000000002</v>
      </c>
      <c r="D17" s="29">
        <v>11.2</v>
      </c>
      <c r="E17" s="20">
        <v>0.25</v>
      </c>
      <c r="F17" s="29">
        <v>64.3</v>
      </c>
      <c r="G17" s="36">
        <f t="shared" si="0"/>
        <v>8.0576441102756888</v>
      </c>
      <c r="H17" s="40">
        <f t="shared" si="1"/>
        <v>34.473684210526315</v>
      </c>
      <c r="I17" s="12" t="s">
        <v>6</v>
      </c>
      <c r="J17" s="12" t="s">
        <v>6</v>
      </c>
      <c r="K17" s="7"/>
    </row>
    <row r="18" spans="2:11" x14ac:dyDescent="0.25">
      <c r="B18" s="20">
        <v>0.125</v>
      </c>
      <c r="C18" s="36">
        <f t="shared" si="2"/>
        <v>2.3999999999999986</v>
      </c>
      <c r="D18" s="29">
        <v>8.8000000000000007</v>
      </c>
      <c r="E18" s="20">
        <v>0.125</v>
      </c>
      <c r="F18" s="29">
        <v>76.400000000000006</v>
      </c>
      <c r="G18" s="36">
        <f t="shared" si="0"/>
        <v>9.5739348370927324</v>
      </c>
      <c r="H18" s="40">
        <f>H19+G19</f>
        <v>24.899749373433586</v>
      </c>
      <c r="I18" s="12">
        <f>HLOOKUP($I$3,'Krzywe gran. + zaw. asf. WT-2'!$C$2:$P$32,14,FALSE)</f>
        <v>6</v>
      </c>
      <c r="J18" s="12">
        <f>HLOOKUP($I$3,'Krzywe gran. + zaw. asf. WT-2'!$C$2:$P$32,27,FALSE)</f>
        <v>24</v>
      </c>
      <c r="K18" s="7"/>
    </row>
    <row r="19" spans="2:11" x14ac:dyDescent="0.25">
      <c r="B19" s="20">
        <v>6.3E-2</v>
      </c>
      <c r="C19" s="36">
        <f>D18-D19</f>
        <v>1.3000000000000007</v>
      </c>
      <c r="D19" s="29">
        <v>7.5</v>
      </c>
      <c r="E19" s="20">
        <v>6.3E-2</v>
      </c>
      <c r="F19" s="29">
        <v>78.3</v>
      </c>
      <c r="G19" s="36">
        <f t="shared" si="0"/>
        <v>9.8120300751879697</v>
      </c>
      <c r="H19" s="40">
        <f>G20</f>
        <v>15.087719298245615</v>
      </c>
      <c r="I19" s="12">
        <f>HLOOKUP($I$3,'Krzywe gran. + zaw. asf. WT-2'!$C$2:$P$32,15,FALSE)</f>
        <v>3</v>
      </c>
      <c r="J19" s="12">
        <f>HLOOKUP($I$3,'Krzywe gran. + zaw. asf. WT-2'!$C$2:$P$32,28,FALSE)</f>
        <v>8</v>
      </c>
      <c r="K19" s="7"/>
    </row>
    <row r="20" spans="2:11" x14ac:dyDescent="0.25">
      <c r="B20" s="21" t="s">
        <v>0</v>
      </c>
      <c r="C20" s="36">
        <f>D19-D20</f>
        <v>7.5</v>
      </c>
      <c r="D20" s="29"/>
      <c r="E20" s="21" t="s">
        <v>0</v>
      </c>
      <c r="F20" s="29">
        <v>120.4</v>
      </c>
      <c r="G20" s="36">
        <f>F20*(100/$F$21)</f>
        <v>15.087719298245615</v>
      </c>
      <c r="H20" s="11"/>
      <c r="I20" s="12"/>
      <c r="J20" s="12"/>
      <c r="K20" s="7"/>
    </row>
    <row r="21" spans="2:11" x14ac:dyDescent="0.25">
      <c r="B21" s="15" t="s">
        <v>22</v>
      </c>
      <c r="C21" s="11">
        <f>SUM(C6:C20)</f>
        <v>100.00000000000001</v>
      </c>
      <c r="D21" s="11"/>
      <c r="E21" s="15" t="s">
        <v>42</v>
      </c>
      <c r="F21" s="36">
        <f>SUM(F6:F20)</f>
        <v>798</v>
      </c>
      <c r="H21" s="14"/>
      <c r="I21" s="8"/>
      <c r="J21" s="12"/>
      <c r="K21" s="7"/>
    </row>
    <row r="22" spans="2:11" x14ac:dyDescent="0.25">
      <c r="B22" s="17"/>
      <c r="C22" s="7"/>
      <c r="D22" s="7"/>
      <c r="E22" s="17"/>
      <c r="F22" s="7"/>
      <c r="H22" s="7"/>
      <c r="I22" s="7"/>
      <c r="J22" s="12"/>
      <c r="K22" s="7"/>
    </row>
    <row r="23" spans="2:11" x14ac:dyDescent="0.25">
      <c r="B23" s="15" t="s">
        <v>5</v>
      </c>
      <c r="C23" s="11">
        <f>HLOOKUP($I$3,'Krzywe gran. + zaw. asf. WT-2'!$C$2:$P$32,31,FALSE)</f>
        <v>4.8</v>
      </c>
      <c r="D23" s="7"/>
      <c r="E23" s="15" t="s">
        <v>5</v>
      </c>
      <c r="F23" s="11">
        <f>HLOOKUP($I$3,'Krzywe gran. + zaw. asf. WT-2'!$C$2:$P$32,31,FALSE)</f>
        <v>4.8</v>
      </c>
      <c r="H23" s="7"/>
      <c r="I23" s="7"/>
      <c r="J23" s="12"/>
      <c r="K23" s="7"/>
    </row>
    <row r="24" spans="2:11" x14ac:dyDescent="0.25">
      <c r="D24" s="16"/>
    </row>
    <row r="25" spans="2:11" x14ac:dyDescent="0.25">
      <c r="D25" s="16"/>
      <c r="E25" s="39" t="s">
        <v>43</v>
      </c>
      <c r="F25" s="39"/>
      <c r="G25" s="38">
        <v>798</v>
      </c>
    </row>
    <row r="26" spans="2:11" x14ac:dyDescent="0.25">
      <c r="D26" s="16"/>
      <c r="E26" s="41"/>
      <c r="F26" s="41"/>
      <c r="G26" s="38"/>
    </row>
    <row r="27" spans="2:11" x14ac:dyDescent="0.25">
      <c r="D27" s="16"/>
      <c r="E27" s="39" t="s">
        <v>44</v>
      </c>
      <c r="F27" s="39"/>
      <c r="G27" s="38">
        <v>850.2</v>
      </c>
    </row>
    <row r="28" spans="2:11" x14ac:dyDescent="0.25">
      <c r="D28" s="16"/>
      <c r="E28" s="41"/>
      <c r="F28" s="41"/>
      <c r="G28" s="41"/>
    </row>
    <row r="29" spans="2:11" x14ac:dyDescent="0.25">
      <c r="D29" s="16"/>
      <c r="E29" s="41" t="s">
        <v>46</v>
      </c>
      <c r="G29" s="40">
        <f>(G27-G25)*(100/G27)</f>
        <v>6.1397318278052273</v>
      </c>
    </row>
    <row r="30" spans="2:11" x14ac:dyDescent="0.25">
      <c r="D30" s="16"/>
    </row>
    <row r="31" spans="2:11" x14ac:dyDescent="0.25">
      <c r="D31" s="16"/>
    </row>
    <row r="32" spans="2:11" x14ac:dyDescent="0.25">
      <c r="D32" s="16"/>
    </row>
    <row r="33" spans="2:11" x14ac:dyDescent="0.25">
      <c r="D33" s="16"/>
    </row>
    <row r="34" spans="2:11" x14ac:dyDescent="0.25">
      <c r="D34" s="16"/>
    </row>
    <row r="35" spans="2:11" x14ac:dyDescent="0.25">
      <c r="D35" s="16"/>
    </row>
    <row r="36" spans="2:11" x14ac:dyDescent="0.25">
      <c r="B36" s="19" t="s">
        <v>21</v>
      </c>
      <c r="C36" s="7" t="s">
        <v>47</v>
      </c>
      <c r="D36" s="16"/>
    </row>
    <row r="37" spans="2:11" x14ac:dyDescent="0.25">
      <c r="B37" s="20">
        <v>45</v>
      </c>
      <c r="C37" s="40">
        <f>ABS(D6-H6)</f>
        <v>0</v>
      </c>
      <c r="D37" s="16"/>
    </row>
    <row r="38" spans="2:11" x14ac:dyDescent="0.25">
      <c r="B38" s="20">
        <v>31.5</v>
      </c>
      <c r="C38" s="40">
        <f t="shared" ref="C38:C50" si="3">ABS(D7-H7)</f>
        <v>0</v>
      </c>
      <c r="D38" s="16"/>
    </row>
    <row r="39" spans="2:11" x14ac:dyDescent="0.25">
      <c r="B39" s="20">
        <v>22.4</v>
      </c>
      <c r="C39" s="40">
        <f t="shared" si="3"/>
        <v>0</v>
      </c>
      <c r="D39" s="16"/>
    </row>
    <row r="40" spans="2:11" x14ac:dyDescent="0.25">
      <c r="B40" s="20">
        <v>16</v>
      </c>
      <c r="C40" s="40">
        <f t="shared" si="3"/>
        <v>0</v>
      </c>
      <c r="D40" s="16"/>
    </row>
    <row r="41" spans="2:11" x14ac:dyDescent="0.25">
      <c r="B41" s="20">
        <v>11.2</v>
      </c>
      <c r="C41" s="40">
        <f t="shared" si="3"/>
        <v>3.2967418546365792</v>
      </c>
      <c r="D41" s="16"/>
    </row>
    <row r="42" spans="2:11" x14ac:dyDescent="0.25">
      <c r="B42" s="20">
        <v>8</v>
      </c>
      <c r="C42" s="40">
        <f t="shared" si="3"/>
        <v>11.909022556390966</v>
      </c>
      <c r="D42" s="16"/>
    </row>
    <row r="43" spans="2:11" x14ac:dyDescent="0.25">
      <c r="B43" s="20">
        <v>5.6</v>
      </c>
      <c r="C43" s="40">
        <f t="shared" si="3"/>
        <v>13.509523809523799</v>
      </c>
      <c r="D43" s="16"/>
    </row>
    <row r="44" spans="2:11" x14ac:dyDescent="0.25">
      <c r="B44" s="20">
        <v>4</v>
      </c>
      <c r="C44" s="40">
        <f t="shared" si="3"/>
        <v>18.554385964912271</v>
      </c>
      <c r="D44" s="16"/>
    </row>
    <row r="45" spans="2:11" x14ac:dyDescent="0.25">
      <c r="B45" s="20">
        <v>2</v>
      </c>
      <c r="C45" s="40">
        <f t="shared" si="3"/>
        <v>18.982957393483701</v>
      </c>
      <c r="D45" s="16"/>
      <c r="E45" s="17"/>
      <c r="F45" s="17"/>
      <c r="G45" s="7"/>
      <c r="H45" s="7"/>
      <c r="I45" s="7"/>
      <c r="J45" s="12"/>
      <c r="K45" s="7"/>
    </row>
    <row r="46" spans="2:11" x14ac:dyDescent="0.25">
      <c r="B46" s="20">
        <v>1</v>
      </c>
      <c r="C46" s="40">
        <f t="shared" si="3"/>
        <v>21.621804511278192</v>
      </c>
      <c r="D46" s="16"/>
      <c r="E46" s="17"/>
      <c r="F46" s="17"/>
      <c r="G46" s="7"/>
      <c r="H46" s="7"/>
      <c r="I46" s="7"/>
      <c r="J46" s="12"/>
      <c r="K46" s="7"/>
    </row>
    <row r="47" spans="2:11" x14ac:dyDescent="0.25">
      <c r="B47" s="20">
        <v>0.5</v>
      </c>
      <c r="C47" s="40">
        <f t="shared" si="3"/>
        <v>20.931328320802002</v>
      </c>
      <c r="D47" s="16"/>
      <c r="E47" s="17"/>
      <c r="F47" s="17"/>
      <c r="G47" s="7"/>
      <c r="H47" s="7"/>
      <c r="I47" s="7"/>
      <c r="J47" s="12"/>
      <c r="K47" s="7"/>
    </row>
    <row r="48" spans="2:11" x14ac:dyDescent="0.25">
      <c r="B48" s="20">
        <v>0.25</v>
      </c>
      <c r="C48" s="40">
        <f t="shared" si="3"/>
        <v>23.273684210526316</v>
      </c>
      <c r="D48" s="16"/>
      <c r="E48" s="17"/>
      <c r="F48" s="17"/>
      <c r="G48" s="7"/>
      <c r="H48" s="7"/>
      <c r="I48" s="7"/>
      <c r="J48" s="12"/>
      <c r="K48" s="7"/>
    </row>
    <row r="49" spans="2:11" x14ac:dyDescent="0.25">
      <c r="B49" s="20">
        <v>0.125</v>
      </c>
      <c r="C49" s="40">
        <f t="shared" si="3"/>
        <v>16.099749373433585</v>
      </c>
      <c r="D49" s="16"/>
      <c r="E49" s="17"/>
      <c r="F49" s="17"/>
      <c r="G49" s="7"/>
      <c r="H49" s="7"/>
      <c r="I49" s="7"/>
      <c r="J49" s="12"/>
      <c r="K49" s="7"/>
    </row>
    <row r="50" spans="2:11" x14ac:dyDescent="0.25">
      <c r="B50" s="20">
        <v>6.3E-2</v>
      </c>
      <c r="C50" s="40">
        <f t="shared" si="3"/>
        <v>7.5877192982456148</v>
      </c>
      <c r="D50" s="16"/>
      <c r="E50" s="17"/>
      <c r="F50" s="17"/>
      <c r="G50" s="7"/>
      <c r="H50" s="7"/>
      <c r="I50" s="7"/>
      <c r="J50" s="12"/>
      <c r="K50" s="7"/>
    </row>
    <row r="51" spans="2:11" x14ac:dyDescent="0.25">
      <c r="B51" s="21"/>
      <c r="C51" s="37"/>
      <c r="E51" s="7"/>
      <c r="F51" s="7"/>
      <c r="G51" s="7"/>
      <c r="H51" s="7"/>
      <c r="I51" s="7"/>
      <c r="J51" s="12"/>
      <c r="K51" s="7"/>
    </row>
    <row r="52" spans="2:11" x14ac:dyDescent="0.25">
      <c r="E52" s="7"/>
      <c r="F52" s="7"/>
      <c r="G52" s="7"/>
      <c r="H52" s="7"/>
      <c r="I52" s="7"/>
      <c r="J52" s="7"/>
      <c r="K52" s="7"/>
    </row>
    <row r="53" spans="2:11" x14ac:dyDescent="0.25">
      <c r="E53" s="7"/>
      <c r="F53" s="7"/>
      <c r="G53" s="7"/>
      <c r="H53" s="7"/>
      <c r="I53" s="7"/>
      <c r="J53" s="7"/>
      <c r="K53" s="7"/>
    </row>
    <row r="54" spans="2:11" x14ac:dyDescent="0.25">
      <c r="E54" s="7"/>
      <c r="F54" s="7"/>
      <c r="G54" s="7"/>
      <c r="H54" s="7"/>
      <c r="I54" s="7"/>
      <c r="J54" s="7"/>
      <c r="K54" s="7"/>
    </row>
    <row r="55" spans="2:11" x14ac:dyDescent="0.25">
      <c r="E55" s="7"/>
      <c r="F55" s="7"/>
    </row>
    <row r="56" spans="2:11" x14ac:dyDescent="0.25">
      <c r="E56" s="7"/>
      <c r="F56" s="7"/>
    </row>
    <row r="57" spans="2:11" x14ac:dyDescent="0.25">
      <c r="E57" s="7"/>
      <c r="F57" s="7"/>
    </row>
    <row r="58" spans="2:11" x14ac:dyDescent="0.25">
      <c r="E58" s="7"/>
      <c r="F58" s="7"/>
    </row>
    <row r="59" spans="2:11" ht="15" customHeight="1" x14ac:dyDescent="0.25">
      <c r="E59" s="7"/>
      <c r="F59" s="7"/>
    </row>
  </sheetData>
  <sheetProtection formatCells="0" sort="0" autoFilter="0" pivotTables="0"/>
  <mergeCells count="2">
    <mergeCell ref="G4:H4"/>
    <mergeCell ref="C4:D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'Krzywe gran. + zaw. asf. WT-2'!$C$2:$P$2</xm:f>
          </x14:formula1>
          <xm:sqref>I3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I1:AK70"/>
  <sheetViews>
    <sheetView zoomScaleNormal="100" workbookViewId="0"/>
  </sheetViews>
  <sheetFormatPr defaultRowHeight="15" x14ac:dyDescent="0.25"/>
  <cols>
    <col min="28" max="29" width="9.140625" style="22"/>
    <col min="30" max="30" width="9.85546875" style="22" bestFit="1" customWidth="1"/>
    <col min="31" max="31" width="10" style="22" bestFit="1" customWidth="1"/>
    <col min="32" max="32" width="10.5703125" style="22" bestFit="1" customWidth="1"/>
    <col min="33" max="33" width="9.28515625" style="22" bestFit="1" customWidth="1"/>
    <col min="34" max="37" width="9.140625" style="22"/>
  </cols>
  <sheetData>
    <row r="1" spans="27:35" x14ac:dyDescent="0.25">
      <c r="AA1" s="22"/>
    </row>
    <row r="2" spans="27:35" x14ac:dyDescent="0.25">
      <c r="AA2" s="22"/>
      <c r="AD2" s="34"/>
      <c r="AE2" s="34"/>
      <c r="AF2" s="34"/>
      <c r="AG2" s="34"/>
      <c r="AH2" s="34"/>
      <c r="AI2" s="34"/>
    </row>
    <row r="3" spans="27:35" x14ac:dyDescent="0.25">
      <c r="AA3" s="22"/>
      <c r="AC3" s="24"/>
      <c r="AD3" s="26"/>
      <c r="AE3" s="26"/>
      <c r="AF3" s="27"/>
      <c r="AG3" s="27"/>
      <c r="AH3" s="26"/>
      <c r="AI3" s="34"/>
    </row>
    <row r="4" spans="27:35" x14ac:dyDescent="0.25">
      <c r="AA4" s="22"/>
      <c r="AC4" s="24"/>
      <c r="AD4" s="26">
        <f>'Projekt MM'!E6</f>
        <v>45</v>
      </c>
      <c r="AE4" s="27">
        <f>IF((100-'Projekt MM'!H6)&gt;0,(100-'Projekt MM'!H6),-10)</f>
        <v>-10</v>
      </c>
      <c r="AF4" s="27">
        <f>IF((100-'Projekt MM'!D6)&gt;0,(100-'Projekt MM'!D6),-10)</f>
        <v>-10</v>
      </c>
      <c r="AG4" s="26"/>
      <c r="AH4" s="24"/>
      <c r="AI4" s="34"/>
    </row>
    <row r="5" spans="27:35" x14ac:dyDescent="0.25">
      <c r="AA5" s="22"/>
      <c r="AC5" s="24"/>
      <c r="AD5" s="26">
        <f>'Projekt MM'!E7</f>
        <v>31.5</v>
      </c>
      <c r="AE5" s="27">
        <f>IF((100-'Projekt MM'!H7)&gt;0,(100-'Projekt MM'!H7),-10)</f>
        <v>-10</v>
      </c>
      <c r="AF5" s="27">
        <f>IF((100-'Projekt MM'!D7)&gt;0,(100-'Projekt MM'!D7),-10)</f>
        <v>-10</v>
      </c>
      <c r="AG5" s="26"/>
      <c r="AH5" s="24"/>
      <c r="AI5" s="34"/>
    </row>
    <row r="6" spans="27:35" x14ac:dyDescent="0.25">
      <c r="AA6" s="22"/>
      <c r="AC6" s="24"/>
      <c r="AD6" s="26">
        <f>'Projekt MM'!E8</f>
        <v>22.4</v>
      </c>
      <c r="AE6" s="27">
        <f>IF((100-'Projekt MM'!H8)&gt;0,(100-'Projekt MM'!H8),-10)</f>
        <v>-10</v>
      </c>
      <c r="AF6" s="27">
        <f>IF((100-'Projekt MM'!D8)&gt;0,(100-'Projekt MM'!D8),-10)</f>
        <v>-10</v>
      </c>
      <c r="AG6" s="26"/>
      <c r="AH6" s="24"/>
      <c r="AI6" s="34"/>
    </row>
    <row r="7" spans="27:35" x14ac:dyDescent="0.25">
      <c r="AA7" s="22"/>
      <c r="AC7" s="24"/>
      <c r="AD7" s="26">
        <f>'Projekt MM'!E9</f>
        <v>16</v>
      </c>
      <c r="AE7" s="27">
        <f>IF((100-'Projekt MM'!H9)&gt;0,(100-'Projekt MM'!H9),-10)</f>
        <v>-10</v>
      </c>
      <c r="AF7" s="27">
        <f>IF((100-'Projekt MM'!D9)&gt;0,(100-'Projekt MM'!D9),-10)</f>
        <v>-10</v>
      </c>
      <c r="AG7" s="26"/>
      <c r="AH7" s="24"/>
      <c r="AI7" s="34"/>
    </row>
    <row r="8" spans="27:35" x14ac:dyDescent="0.25">
      <c r="AA8" s="22"/>
      <c r="AC8" s="24"/>
      <c r="AD8" s="26">
        <f>'Projekt MM'!E10</f>
        <v>11.2</v>
      </c>
      <c r="AE8" s="27">
        <f>IF((100-'Projekt MM'!H10)&gt;0,(100-'Projekt MM'!H10),-10)</f>
        <v>1.3032581453634151</v>
      </c>
      <c r="AF8" s="27">
        <f>IF((100-'Projekt MM'!D10)&gt;0,(100-'Projekt MM'!D10),-10)</f>
        <v>4.5999999999999943</v>
      </c>
      <c r="AG8" s="26"/>
      <c r="AH8" s="24"/>
      <c r="AI8" s="34"/>
    </row>
    <row r="9" spans="27:35" x14ac:dyDescent="0.25">
      <c r="AA9" s="22"/>
      <c r="AC9" s="24"/>
      <c r="AD9" s="26">
        <f>'Projekt MM'!E11</f>
        <v>8</v>
      </c>
      <c r="AE9" s="27">
        <f>IF((100-'Projekt MM'!H11)&gt;0,(100-'Projekt MM'!H11),-10)</f>
        <v>11.390977443609032</v>
      </c>
      <c r="AF9" s="27">
        <f>IF((100-'Projekt MM'!D11)&gt;0,(100-'Projekt MM'!D11),-10)</f>
        <v>23.299999999999997</v>
      </c>
      <c r="AG9" s="26"/>
      <c r="AH9" s="24"/>
      <c r="AI9" s="34"/>
    </row>
    <row r="10" spans="27:35" x14ac:dyDescent="0.25">
      <c r="AA10" s="22"/>
      <c r="AC10" s="24"/>
      <c r="AD10" s="26">
        <f>'Projekt MM'!E12</f>
        <v>5.6</v>
      </c>
      <c r="AE10" s="27">
        <f>IF((100-'Projekt MM'!H12)&gt;0,(100-'Projekt MM'!H12),-10)</f>
        <v>21.190476190476204</v>
      </c>
      <c r="AF10" s="27">
        <f>IF((100-'Projekt MM'!D12)&gt;0,(100-'Projekt MM'!D12),-10)</f>
        <v>34.700000000000003</v>
      </c>
      <c r="AG10" s="26"/>
      <c r="AH10" s="24"/>
      <c r="AI10" s="34"/>
    </row>
    <row r="11" spans="27:35" x14ac:dyDescent="0.25">
      <c r="AA11" s="22"/>
      <c r="AC11" s="24"/>
      <c r="AD11" s="26">
        <f>'Projekt MM'!E13</f>
        <v>4</v>
      </c>
      <c r="AE11" s="27">
        <f>IF((100-'Projekt MM'!H13)&gt;0,(100-'Projekt MM'!H13),-10)</f>
        <v>28.245614035087726</v>
      </c>
      <c r="AF11" s="27">
        <f>IF((100-'Projekt MM'!D13)&gt;0,(100-'Projekt MM'!D13),-10)</f>
        <v>46.8</v>
      </c>
      <c r="AG11" s="26"/>
      <c r="AH11" s="24"/>
      <c r="AI11" s="34"/>
    </row>
    <row r="12" spans="27:35" x14ac:dyDescent="0.25">
      <c r="AA12" s="22"/>
      <c r="AC12" s="24"/>
      <c r="AD12" s="26">
        <f>'Projekt MM'!E14</f>
        <v>2</v>
      </c>
      <c r="AE12" s="27">
        <f>IF((100-'Projekt MM'!H14)&gt;0,(100-'Projekt MM'!H14),-10)</f>
        <v>36.817042606516296</v>
      </c>
      <c r="AF12" s="27">
        <f>IF((100-'Projekt MM'!D14)&gt;0,(100-'Projekt MM'!D14),-10)</f>
        <v>55.8</v>
      </c>
      <c r="AG12" s="26"/>
      <c r="AH12" s="24"/>
      <c r="AI12" s="34"/>
    </row>
    <row r="13" spans="27:35" x14ac:dyDescent="0.25">
      <c r="AA13" s="22"/>
      <c r="AC13" s="24"/>
      <c r="AD13" s="26">
        <f>'Projekt MM'!E15</f>
        <v>1</v>
      </c>
      <c r="AE13" s="27">
        <f>IF((100-'Projekt MM'!H15)&gt;0,(100-'Projekt MM'!H15),-10)</f>
        <v>46.278195488721806</v>
      </c>
      <c r="AF13" s="27">
        <f>IF((100-'Projekt MM'!D15)&gt;0,(100-'Projekt MM'!D15),-10)</f>
        <v>67.900000000000006</v>
      </c>
      <c r="AG13" s="26"/>
      <c r="AH13" s="24"/>
      <c r="AI13" s="34"/>
    </row>
    <row r="14" spans="27:35" x14ac:dyDescent="0.25">
      <c r="AA14" s="22"/>
      <c r="AC14" s="24"/>
      <c r="AD14" s="26">
        <f>'Projekt MM'!E16</f>
        <v>0.5</v>
      </c>
      <c r="AE14" s="27">
        <f>IF((100-'Projekt MM'!H16)&gt;0,(100-'Projekt MM'!H16),-10)</f>
        <v>57.468671679197996</v>
      </c>
      <c r="AF14" s="27">
        <f>IF((100-'Projekt MM'!D16)&gt;0,(100-'Projekt MM'!D16),-10)</f>
        <v>78.400000000000006</v>
      </c>
      <c r="AG14" s="26"/>
      <c r="AH14" s="24"/>
      <c r="AI14" s="34"/>
    </row>
    <row r="15" spans="27:35" x14ac:dyDescent="0.25">
      <c r="AA15" s="22"/>
      <c r="AC15" s="24"/>
      <c r="AD15" s="26">
        <f>'Projekt MM'!E17</f>
        <v>0.25</v>
      </c>
      <c r="AE15" s="27">
        <f>IF((100-'Projekt MM'!H17)&gt;0,(100-'Projekt MM'!H17),-10)</f>
        <v>65.526315789473685</v>
      </c>
      <c r="AF15" s="27">
        <f>IF((100-'Projekt MM'!D17)&gt;0,(100-'Projekt MM'!D17),-10)</f>
        <v>88.8</v>
      </c>
      <c r="AG15" s="26"/>
      <c r="AH15" s="24"/>
      <c r="AI15" s="34"/>
    </row>
    <row r="16" spans="27:35" x14ac:dyDescent="0.25">
      <c r="AA16" s="22"/>
      <c r="AC16" s="24"/>
      <c r="AD16" s="26">
        <f>'Projekt MM'!E18</f>
        <v>0.125</v>
      </c>
      <c r="AE16" s="27">
        <f>IF((100-'Projekt MM'!H18)&gt;0,(100-'Projekt MM'!H18),-10)</f>
        <v>75.100250626566407</v>
      </c>
      <c r="AF16" s="27">
        <f>IF((100-'Projekt MM'!D18)&gt;0,(100-'Projekt MM'!D18),-10)</f>
        <v>91.2</v>
      </c>
      <c r="AG16" s="26"/>
      <c r="AH16" s="24"/>
      <c r="AI16" s="34"/>
    </row>
    <row r="17" spans="27:35" x14ac:dyDescent="0.25">
      <c r="AA17" s="22"/>
      <c r="AC17" s="24"/>
      <c r="AD17" s="26">
        <f>'Projekt MM'!E19</f>
        <v>6.3E-2</v>
      </c>
      <c r="AE17" s="27">
        <f>IF((100-'Projekt MM'!H19)&gt;0,(100-'Projekt MM'!H19),-10)</f>
        <v>84.912280701754383</v>
      </c>
      <c r="AF17" s="27">
        <f>IF((100-'Projekt MM'!D19)&gt;0,(100-'Projekt MM'!D19),-10)</f>
        <v>92.5</v>
      </c>
      <c r="AG17" s="26"/>
      <c r="AH17" s="24"/>
      <c r="AI17" s="34"/>
    </row>
    <row r="18" spans="27:35" x14ac:dyDescent="0.25">
      <c r="AA18" s="22"/>
      <c r="AC18" s="24"/>
      <c r="AD18" s="26"/>
      <c r="AE18" s="27"/>
      <c r="AF18" s="26"/>
      <c r="AG18" s="26"/>
      <c r="AH18" s="26"/>
      <c r="AI18" s="34"/>
    </row>
    <row r="19" spans="27:35" x14ac:dyDescent="0.25">
      <c r="AA19" s="22"/>
      <c r="AC19" s="24"/>
      <c r="AD19" s="26">
        <f>IF(AE19="-",AE19*1,AD4)</f>
        <v>45</v>
      </c>
      <c r="AE19" s="27">
        <f>IF('Projekt MM'!I6=100,101,'Projekt MM'!I6)</f>
        <v>101</v>
      </c>
      <c r="AF19" s="25">
        <f>IF(AG19="-",AG19*1,AD4)</f>
        <v>45</v>
      </c>
      <c r="AG19" s="27">
        <f>IF('Projekt MM'!J6=100,101,'Projekt MM'!J6)</f>
        <v>101</v>
      </c>
      <c r="AH19" s="26"/>
      <c r="AI19" s="34"/>
    </row>
    <row r="20" spans="27:35" x14ac:dyDescent="0.25">
      <c r="AA20" s="22"/>
      <c r="AC20" s="24"/>
      <c r="AD20" s="26">
        <f>IF(AE20="-",AE20*1,AD5)</f>
        <v>31.5</v>
      </c>
      <c r="AE20" s="27">
        <f>IF('Projekt MM'!I7=100,101,'Projekt MM'!I7)</f>
        <v>101</v>
      </c>
      <c r="AF20" s="25">
        <f t="shared" ref="AF20:AF32" si="0">IF(AG20="-",AG20*1,AD5)</f>
        <v>31.5</v>
      </c>
      <c r="AG20" s="27">
        <f>IF('Projekt MM'!J7=100,101,'Projekt MM'!J7)</f>
        <v>101</v>
      </c>
      <c r="AH20" s="25"/>
      <c r="AI20" s="23"/>
    </row>
    <row r="21" spans="27:35" x14ac:dyDescent="0.25">
      <c r="AA21" s="22"/>
      <c r="AC21" s="24"/>
      <c r="AD21" s="26">
        <f>IF(AE21="-",AE21*1,AD6)</f>
        <v>22.4</v>
      </c>
      <c r="AE21" s="27">
        <f>IF('Projekt MM'!I8=100,101,'Projekt MM'!I8)</f>
        <v>101</v>
      </c>
      <c r="AF21" s="25">
        <f t="shared" si="0"/>
        <v>22.4</v>
      </c>
      <c r="AG21" s="27">
        <f>IF('Projekt MM'!J8=100,101,'Projekt MM'!J8)</f>
        <v>101</v>
      </c>
      <c r="AH21" s="25"/>
      <c r="AI21" s="23"/>
    </row>
    <row r="22" spans="27:35" x14ac:dyDescent="0.25">
      <c r="AA22" s="22"/>
      <c r="AC22" s="24"/>
      <c r="AD22" s="26">
        <f>IF(AE22="-",AE22*1,AD7)</f>
        <v>16</v>
      </c>
      <c r="AE22" s="27">
        <f>IF('Projekt MM'!I9=100,101,'Projekt MM'!I9)</f>
        <v>101</v>
      </c>
      <c r="AF22" s="25">
        <f t="shared" si="0"/>
        <v>16</v>
      </c>
      <c r="AG22" s="27">
        <f>IF('Projekt MM'!J9=100,101,'Projekt MM'!J9)</f>
        <v>101</v>
      </c>
      <c r="AH22" s="24"/>
    </row>
    <row r="23" spans="27:35" x14ac:dyDescent="0.25">
      <c r="AA23" s="22"/>
      <c r="AC23" s="24"/>
      <c r="AD23" s="26">
        <f>IF(AE23="-",AE23*1,AD8)</f>
        <v>11.2</v>
      </c>
      <c r="AE23" s="27">
        <f>IF('Projekt MM'!I10=100,101,'Projekt MM'!I10)</f>
        <v>90</v>
      </c>
      <c r="AF23" s="25">
        <f t="shared" si="0"/>
        <v>11.2</v>
      </c>
      <c r="AG23" s="27">
        <f>IF('Projekt MM'!J10=100,101,'Projekt MM'!J10)</f>
        <v>101</v>
      </c>
      <c r="AH23" s="24"/>
    </row>
    <row r="24" spans="27:35" x14ac:dyDescent="0.25">
      <c r="AA24" s="22"/>
      <c r="AC24" s="24"/>
      <c r="AD24" s="26">
        <f>IF(AE24="-",AE24*1,AD9)</f>
        <v>8</v>
      </c>
      <c r="AE24" s="27">
        <f>IF('Projekt MM'!I11=100,101,'Projekt MM'!I11)</f>
        <v>60</v>
      </c>
      <c r="AF24" s="25">
        <f t="shared" si="0"/>
        <v>8</v>
      </c>
      <c r="AG24" s="27">
        <f>IF('Projekt MM'!J11=100,101,'Projekt MM'!J11)</f>
        <v>85</v>
      </c>
      <c r="AH24" s="24"/>
    </row>
    <row r="25" spans="27:35" x14ac:dyDescent="0.25">
      <c r="AA25" s="22"/>
      <c r="AC25" s="24"/>
      <c r="AD25" s="26" t="e">
        <f>IF(AE25="-",AE25*1,AD10)</f>
        <v>#VALUE!</v>
      </c>
      <c r="AE25" s="27" t="str">
        <f>IF('Projekt MM'!I12=100,101,'Projekt MM'!I12)</f>
        <v>-</v>
      </c>
      <c r="AF25" s="25" t="e">
        <f t="shared" si="0"/>
        <v>#VALUE!</v>
      </c>
      <c r="AG25" s="27" t="str">
        <f>IF('Projekt MM'!J12=100,101,'Projekt MM'!J12)</f>
        <v>-</v>
      </c>
      <c r="AH25" s="24"/>
    </row>
    <row r="26" spans="27:35" x14ac:dyDescent="0.25">
      <c r="AA26" s="22"/>
      <c r="AC26" s="24"/>
      <c r="AD26" s="26" t="e">
        <f t="shared" ref="AD20:AD32" si="1">IF(AE26="-",AE26*1,AD11)</f>
        <v>#VALUE!</v>
      </c>
      <c r="AE26" s="27" t="str">
        <f>IF('Projekt MM'!I13=100,101,'Projekt MM'!I13)</f>
        <v>-</v>
      </c>
      <c r="AF26" s="25" t="e">
        <f t="shared" si="0"/>
        <v>#VALUE!</v>
      </c>
      <c r="AG26" s="27" t="str">
        <f>IF('Projekt MM'!J13=100,101,'Projekt MM'!J13)</f>
        <v>-</v>
      </c>
      <c r="AH26" s="28"/>
      <c r="AI26" s="30"/>
    </row>
    <row r="27" spans="27:35" x14ac:dyDescent="0.25">
      <c r="AA27" s="22"/>
      <c r="AC27" s="24"/>
      <c r="AD27" s="26">
        <f t="shared" si="1"/>
        <v>2</v>
      </c>
      <c r="AE27" s="27">
        <f>IF('Projekt MM'!I14=100,101,'Projekt MM'!I14)</f>
        <v>30</v>
      </c>
      <c r="AF27" s="25">
        <f t="shared" si="0"/>
        <v>2</v>
      </c>
      <c r="AG27" s="27">
        <f>IF('Projekt MM'!J14=100,101,'Projekt MM'!J14)</f>
        <v>55</v>
      </c>
      <c r="AH27" s="28"/>
      <c r="AI27" s="30"/>
    </row>
    <row r="28" spans="27:35" x14ac:dyDescent="0.25">
      <c r="AA28" s="22"/>
      <c r="AC28" s="24"/>
      <c r="AD28" s="26" t="e">
        <f t="shared" si="1"/>
        <v>#VALUE!</v>
      </c>
      <c r="AE28" s="27" t="str">
        <f>IF('Projekt MM'!I15=100,101,'Projekt MM'!I15)</f>
        <v>-</v>
      </c>
      <c r="AF28" s="25" t="e">
        <f t="shared" si="0"/>
        <v>#VALUE!</v>
      </c>
      <c r="AG28" s="27" t="str">
        <f>IF('Projekt MM'!J15=100,101,'Projekt MM'!J15)</f>
        <v>-</v>
      </c>
      <c r="AH28" s="28"/>
      <c r="AI28" s="30"/>
    </row>
    <row r="29" spans="27:35" x14ac:dyDescent="0.25">
      <c r="AA29" s="22"/>
      <c r="AC29" s="24"/>
      <c r="AD29" s="26" t="e">
        <f t="shared" si="1"/>
        <v>#VALUE!</v>
      </c>
      <c r="AE29" s="27" t="str">
        <f>IF('Projekt MM'!I16=100,101,'Projekt MM'!I16)</f>
        <v>-</v>
      </c>
      <c r="AF29" s="25" t="e">
        <f t="shared" si="0"/>
        <v>#VALUE!</v>
      </c>
      <c r="AG29" s="27" t="str">
        <f>IF('Projekt MM'!J16=100,101,'Projekt MM'!J16)</f>
        <v>-</v>
      </c>
      <c r="AH29" s="28"/>
      <c r="AI29" s="30"/>
    </row>
    <row r="30" spans="27:35" x14ac:dyDescent="0.25">
      <c r="AA30" s="22"/>
      <c r="AC30" s="24"/>
      <c r="AD30" s="26" t="e">
        <f t="shared" si="1"/>
        <v>#VALUE!</v>
      </c>
      <c r="AE30" s="27" t="str">
        <f>IF('Projekt MM'!I17=100,101,'Projekt MM'!I17)</f>
        <v>-</v>
      </c>
      <c r="AF30" s="25" t="e">
        <f t="shared" si="0"/>
        <v>#VALUE!</v>
      </c>
      <c r="AG30" s="27" t="str">
        <f>IF('Projekt MM'!J17=100,101,'Projekt MM'!J17)</f>
        <v>-</v>
      </c>
      <c r="AH30" s="28"/>
      <c r="AI30" s="30"/>
    </row>
    <row r="31" spans="27:35" x14ac:dyDescent="0.25">
      <c r="AA31" s="22"/>
      <c r="AC31" s="24"/>
      <c r="AD31" s="26">
        <f t="shared" si="1"/>
        <v>0.125</v>
      </c>
      <c r="AE31" s="27">
        <f>IF('Projekt MM'!I18=100,101,'Projekt MM'!I18)</f>
        <v>6</v>
      </c>
      <c r="AF31" s="25">
        <f t="shared" si="0"/>
        <v>0.125</v>
      </c>
      <c r="AG31" s="27">
        <f>IF('Projekt MM'!J18=100,101,'Projekt MM'!J18)</f>
        <v>24</v>
      </c>
      <c r="AH31" s="28"/>
      <c r="AI31" s="30"/>
    </row>
    <row r="32" spans="27:35" x14ac:dyDescent="0.25">
      <c r="AA32" s="22"/>
      <c r="AC32" s="24"/>
      <c r="AD32" s="26">
        <f t="shared" si="1"/>
        <v>6.3E-2</v>
      </c>
      <c r="AE32" s="27">
        <f>IF('Projekt MM'!I19=100,101,'Projekt MM'!I19)</f>
        <v>3</v>
      </c>
      <c r="AF32" s="25">
        <f t="shared" si="0"/>
        <v>6.3E-2</v>
      </c>
      <c r="AG32" s="27">
        <f>IF('Projekt MM'!J19=100,101,'Projekt MM'!J19)</f>
        <v>8</v>
      </c>
      <c r="AH32" s="28"/>
      <c r="AI32" s="30"/>
    </row>
    <row r="33" spans="27:35" x14ac:dyDescent="0.25">
      <c r="AA33" s="22"/>
      <c r="AC33" s="24"/>
      <c r="AD33" s="25"/>
      <c r="AE33" s="27"/>
      <c r="AF33" s="27"/>
      <c r="AG33" s="28"/>
      <c r="AH33" s="28"/>
      <c r="AI33" s="30"/>
    </row>
    <row r="34" spans="27:35" x14ac:dyDescent="0.25">
      <c r="AA34" s="22"/>
      <c r="AC34" s="24"/>
      <c r="AD34" s="25"/>
      <c r="AE34" s="27"/>
      <c r="AF34" s="27"/>
      <c r="AG34" s="28"/>
      <c r="AH34" s="28"/>
      <c r="AI34" s="30"/>
    </row>
    <row r="35" spans="27:35" x14ac:dyDescent="0.25">
      <c r="AA35" s="22"/>
      <c r="AC35" s="24"/>
      <c r="AD35" s="25"/>
      <c r="AE35" s="27"/>
      <c r="AF35" s="27"/>
      <c r="AG35" s="28"/>
      <c r="AH35" s="28"/>
      <c r="AI35" s="30"/>
    </row>
    <row r="36" spans="27:35" x14ac:dyDescent="0.25">
      <c r="AA36" s="22"/>
      <c r="AC36" s="24"/>
      <c r="AD36" s="25"/>
      <c r="AE36" s="27"/>
      <c r="AF36" s="27"/>
      <c r="AG36" s="28"/>
      <c r="AH36" s="28"/>
      <c r="AI36" s="30"/>
    </row>
    <row r="37" spans="27:35" x14ac:dyDescent="0.25">
      <c r="AA37" s="22"/>
      <c r="AC37" s="24"/>
      <c r="AD37" s="25"/>
      <c r="AE37" s="27"/>
      <c r="AF37" s="27"/>
      <c r="AG37" s="28"/>
      <c r="AH37" s="28"/>
      <c r="AI37" s="30"/>
    </row>
    <row r="38" spans="27:35" x14ac:dyDescent="0.25">
      <c r="AA38" s="22"/>
      <c r="AC38" s="24"/>
      <c r="AD38" s="25"/>
      <c r="AE38" s="27"/>
      <c r="AF38" s="27"/>
      <c r="AG38" s="28"/>
      <c r="AH38" s="28"/>
      <c r="AI38" s="30"/>
    </row>
    <row r="39" spans="27:35" x14ac:dyDescent="0.25">
      <c r="AA39" s="22"/>
      <c r="AC39" s="24"/>
      <c r="AD39" s="25"/>
      <c r="AE39" s="27"/>
      <c r="AF39" s="27"/>
      <c r="AG39" s="28"/>
      <c r="AH39" s="28"/>
      <c r="AI39" s="30"/>
    </row>
    <row r="40" spans="27:35" x14ac:dyDescent="0.25">
      <c r="AA40" s="22"/>
      <c r="AC40" s="24"/>
      <c r="AD40" s="25"/>
      <c r="AE40" s="27"/>
      <c r="AF40" s="27"/>
      <c r="AG40" s="28"/>
      <c r="AH40" s="28"/>
      <c r="AI40" s="30"/>
    </row>
    <row r="41" spans="27:35" x14ac:dyDescent="0.25">
      <c r="AA41" s="22"/>
      <c r="AC41" s="24"/>
      <c r="AD41" s="25"/>
      <c r="AE41" s="42"/>
      <c r="AF41" s="43"/>
      <c r="AG41" s="28"/>
      <c r="AH41" s="28"/>
      <c r="AI41" s="30"/>
    </row>
    <row r="42" spans="27:35" x14ac:dyDescent="0.25">
      <c r="AA42" s="22"/>
      <c r="AC42" s="24"/>
      <c r="AD42" s="25"/>
      <c r="AE42" s="43"/>
      <c r="AF42" s="43"/>
      <c r="AG42" s="43"/>
      <c r="AH42" s="24"/>
    </row>
    <row r="43" spans="27:35" x14ac:dyDescent="0.25">
      <c r="AA43" s="22"/>
      <c r="AD43" s="23"/>
    </row>
    <row r="44" spans="27:35" x14ac:dyDescent="0.25">
      <c r="AA44" s="22"/>
    </row>
    <row r="45" spans="27:35" x14ac:dyDescent="0.25">
      <c r="AA45" s="22"/>
    </row>
    <row r="46" spans="27:35" x14ac:dyDescent="0.25">
      <c r="AA46" s="22"/>
    </row>
    <row r="47" spans="27:35" x14ac:dyDescent="0.25">
      <c r="AA47" s="22"/>
    </row>
    <row r="48" spans="27:35" x14ac:dyDescent="0.25">
      <c r="AA48" s="22"/>
    </row>
    <row r="49" spans="9:27" x14ac:dyDescent="0.25">
      <c r="AA49" s="22"/>
    </row>
    <row r="52" spans="9:27" x14ac:dyDescent="0.25">
      <c r="I52" s="20"/>
    </row>
    <row r="53" spans="9:27" x14ac:dyDescent="0.25">
      <c r="I53" s="20"/>
    </row>
    <row r="54" spans="9:27" x14ac:dyDescent="0.25">
      <c r="I54" s="20"/>
    </row>
    <row r="55" spans="9:27" x14ac:dyDescent="0.25">
      <c r="I55" s="20"/>
    </row>
    <row r="56" spans="9:27" x14ac:dyDescent="0.25">
      <c r="I56" s="20"/>
      <c r="R56" s="20"/>
    </row>
    <row r="57" spans="9:27" x14ac:dyDescent="0.25">
      <c r="I57" s="20"/>
      <c r="R57" s="20"/>
    </row>
    <row r="58" spans="9:27" x14ac:dyDescent="0.25">
      <c r="I58" s="20"/>
      <c r="R58" s="20"/>
    </row>
    <row r="59" spans="9:27" x14ac:dyDescent="0.25">
      <c r="I59" s="20"/>
      <c r="R59" s="20"/>
    </row>
    <row r="60" spans="9:27" x14ac:dyDescent="0.25">
      <c r="I60" s="20"/>
      <c r="R60" s="20"/>
    </row>
    <row r="61" spans="9:27" x14ac:dyDescent="0.25">
      <c r="I61" s="20"/>
      <c r="R61" s="20"/>
    </row>
    <row r="62" spans="9:27" x14ac:dyDescent="0.25">
      <c r="I62" s="20"/>
      <c r="R62" s="20"/>
    </row>
    <row r="63" spans="9:27" x14ac:dyDescent="0.25">
      <c r="I63" s="20"/>
      <c r="R63" s="20"/>
    </row>
    <row r="64" spans="9:27" x14ac:dyDescent="0.25">
      <c r="I64" s="20"/>
      <c r="R64" s="20"/>
    </row>
    <row r="65" spans="9:18" x14ac:dyDescent="0.25">
      <c r="I65" s="20"/>
      <c r="R65" s="20"/>
    </row>
    <row r="66" spans="9:18" x14ac:dyDescent="0.25">
      <c r="I66" s="21"/>
      <c r="R66" s="20"/>
    </row>
    <row r="67" spans="9:18" x14ac:dyDescent="0.25">
      <c r="R67" s="20"/>
    </row>
    <row r="68" spans="9:18" x14ac:dyDescent="0.25">
      <c r="R68" s="20"/>
    </row>
    <row r="69" spans="9:18" x14ac:dyDescent="0.25">
      <c r="R69" s="20"/>
    </row>
    <row r="70" spans="9:18" x14ac:dyDescent="0.25">
      <c r="R70" s="21"/>
    </row>
  </sheetData>
  <sheetProtection algorithmName="SHA-512" hashValue="V5s2w3hdT6NwwxnuZZXfeogCsZRjqk1xkJwu+AhVqT2bDE0LenZyo/V20TsNhlbcov1BiNGvJkce/r/73WEoNA==" saltValue="eifJ9Ld0XUdn3DVhPaFsrw==" spinCount="100000" sheet="1" objects="1" scenarios="1" selectLockedCells="1" selectUnlockedCells="1"/>
  <printOptions horizontalCentered="1"/>
  <pageMargins left="0.70866141732283472" right="0.70866141732283472" top="0.74803149606299213" bottom="0.74803149606299213" header="0.31496062992125984" footer="0.31496062992125984"/>
  <pageSetup paperSize="9" scale="65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6"/>
  <sheetViews>
    <sheetView workbookViewId="0"/>
  </sheetViews>
  <sheetFormatPr defaultRowHeight="15" x14ac:dyDescent="0.25"/>
  <cols>
    <col min="2" max="16" width="12.7109375" customWidth="1"/>
  </cols>
  <sheetData>
    <row r="2" spans="2:18" x14ac:dyDescent="0.25">
      <c r="C2" s="13" t="s">
        <v>7</v>
      </c>
      <c r="D2" s="13" t="s">
        <v>8</v>
      </c>
      <c r="E2" s="13" t="s">
        <v>9</v>
      </c>
      <c r="F2" s="13" t="s">
        <v>10</v>
      </c>
      <c r="G2" s="13" t="s">
        <v>11</v>
      </c>
      <c r="H2" s="13" t="s">
        <v>12</v>
      </c>
      <c r="I2" s="13" t="s">
        <v>13</v>
      </c>
      <c r="J2" s="13" t="s">
        <v>14</v>
      </c>
      <c r="K2" s="13" t="s">
        <v>15</v>
      </c>
      <c r="L2" s="13" t="s">
        <v>16</v>
      </c>
      <c r="M2" s="13" t="s">
        <v>17</v>
      </c>
      <c r="N2" s="13" t="s">
        <v>18</v>
      </c>
      <c r="O2" s="13" t="s">
        <v>19</v>
      </c>
      <c r="P2" s="13" t="s">
        <v>20</v>
      </c>
    </row>
    <row r="3" spans="2:18" ht="35.1" customHeight="1" x14ac:dyDescent="0.25">
      <c r="B3" s="3"/>
      <c r="C3" s="2" t="s">
        <v>26</v>
      </c>
      <c r="D3" s="2" t="s">
        <v>27</v>
      </c>
      <c r="E3" s="2" t="s">
        <v>28</v>
      </c>
      <c r="F3" s="2" t="s">
        <v>29</v>
      </c>
      <c r="G3" s="2" t="s">
        <v>30</v>
      </c>
      <c r="H3" s="2" t="s">
        <v>31</v>
      </c>
      <c r="I3" s="2" t="s">
        <v>32</v>
      </c>
      <c r="J3" s="2" t="s">
        <v>33</v>
      </c>
      <c r="K3" s="2" t="s">
        <v>34</v>
      </c>
      <c r="L3" s="2" t="s">
        <v>35</v>
      </c>
      <c r="M3" s="2" t="s">
        <v>36</v>
      </c>
      <c r="N3" s="2" t="s">
        <v>37</v>
      </c>
      <c r="O3" s="2" t="s">
        <v>38</v>
      </c>
      <c r="P3" s="2" t="s">
        <v>39</v>
      </c>
    </row>
    <row r="4" spans="2:18" ht="15" customHeight="1" x14ac:dyDescent="0.25"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8" x14ac:dyDescent="0.25">
      <c r="B5" s="4" t="s">
        <v>1</v>
      </c>
      <c r="C5" s="4" t="s">
        <v>2</v>
      </c>
      <c r="D5" s="4" t="s">
        <v>2</v>
      </c>
      <c r="E5" s="4" t="s">
        <v>2</v>
      </c>
      <c r="F5" s="4" t="s">
        <v>2</v>
      </c>
      <c r="G5" s="4" t="s">
        <v>2</v>
      </c>
      <c r="H5" s="4" t="s">
        <v>2</v>
      </c>
      <c r="I5" s="4" t="s">
        <v>2</v>
      </c>
      <c r="J5" s="4" t="s">
        <v>2</v>
      </c>
      <c r="K5" s="4" t="s">
        <v>2</v>
      </c>
      <c r="L5" s="4" t="s">
        <v>2</v>
      </c>
      <c r="M5" s="4" t="s">
        <v>2</v>
      </c>
      <c r="N5" s="4" t="s">
        <v>2</v>
      </c>
      <c r="O5" s="4" t="s">
        <v>2</v>
      </c>
      <c r="P5" s="4" t="s">
        <v>2</v>
      </c>
      <c r="R5" s="4"/>
    </row>
    <row r="6" spans="2:18" x14ac:dyDescent="0.25">
      <c r="B6" s="1">
        <v>45</v>
      </c>
      <c r="C6" s="5">
        <v>100</v>
      </c>
      <c r="D6" s="5">
        <v>100</v>
      </c>
      <c r="E6" s="5">
        <v>100</v>
      </c>
      <c r="F6" s="5">
        <v>100</v>
      </c>
      <c r="G6" s="5">
        <v>100</v>
      </c>
      <c r="H6" s="5">
        <v>100</v>
      </c>
      <c r="I6" s="5">
        <v>100</v>
      </c>
      <c r="J6" s="5">
        <v>100</v>
      </c>
      <c r="K6" s="5">
        <v>100</v>
      </c>
      <c r="L6" s="5">
        <v>100</v>
      </c>
      <c r="M6" s="5">
        <v>100</v>
      </c>
      <c r="N6" s="5">
        <v>100</v>
      </c>
      <c r="O6" s="5">
        <v>100</v>
      </c>
      <c r="P6" s="5">
        <v>100</v>
      </c>
      <c r="R6" s="1"/>
    </row>
    <row r="7" spans="2:18" x14ac:dyDescent="0.25">
      <c r="B7" s="1">
        <v>31.5</v>
      </c>
      <c r="C7" s="5">
        <v>100</v>
      </c>
      <c r="D7" s="5">
        <v>100</v>
      </c>
      <c r="E7" s="5">
        <v>90</v>
      </c>
      <c r="F7" s="5">
        <v>100</v>
      </c>
      <c r="G7" s="5">
        <v>100</v>
      </c>
      <c r="H7" s="5">
        <v>100</v>
      </c>
      <c r="I7" s="5">
        <v>100</v>
      </c>
      <c r="J7" s="5">
        <v>100</v>
      </c>
      <c r="K7" s="5">
        <v>100</v>
      </c>
      <c r="L7" s="5">
        <v>100</v>
      </c>
      <c r="M7" s="5">
        <v>100</v>
      </c>
      <c r="N7" s="5">
        <v>100</v>
      </c>
      <c r="O7" s="5">
        <v>100</v>
      </c>
      <c r="P7" s="5">
        <v>100</v>
      </c>
      <c r="R7" s="1"/>
    </row>
    <row r="8" spans="2:18" x14ac:dyDescent="0.25">
      <c r="B8" s="1">
        <v>22.4</v>
      </c>
      <c r="C8" s="5">
        <v>90</v>
      </c>
      <c r="D8" s="5">
        <v>100</v>
      </c>
      <c r="E8" s="5">
        <v>65</v>
      </c>
      <c r="F8" s="5">
        <v>90</v>
      </c>
      <c r="G8" s="5">
        <v>100</v>
      </c>
      <c r="H8" s="5">
        <v>100</v>
      </c>
      <c r="I8" s="5">
        <v>100</v>
      </c>
      <c r="J8" s="5">
        <v>90</v>
      </c>
      <c r="K8" s="5">
        <v>100</v>
      </c>
      <c r="L8" s="5">
        <v>100</v>
      </c>
      <c r="M8" s="5">
        <v>100</v>
      </c>
      <c r="N8" s="5">
        <v>100</v>
      </c>
      <c r="O8" s="5">
        <v>100</v>
      </c>
      <c r="P8" s="5">
        <v>100</v>
      </c>
      <c r="R8" s="1"/>
    </row>
    <row r="9" spans="2:18" x14ac:dyDescent="0.25">
      <c r="B9" s="1">
        <v>16</v>
      </c>
      <c r="C9" s="5">
        <v>65</v>
      </c>
      <c r="D9" s="5">
        <v>90</v>
      </c>
      <c r="E9" s="5" t="s">
        <v>6</v>
      </c>
      <c r="F9" s="5">
        <v>65</v>
      </c>
      <c r="G9" s="5">
        <v>90</v>
      </c>
      <c r="H9" s="5">
        <v>90</v>
      </c>
      <c r="I9" s="5">
        <v>100</v>
      </c>
      <c r="J9" s="5">
        <v>65</v>
      </c>
      <c r="K9" s="5">
        <v>90</v>
      </c>
      <c r="L9" s="5">
        <v>100</v>
      </c>
      <c r="M9" s="5">
        <v>100</v>
      </c>
      <c r="N9" s="5">
        <v>100</v>
      </c>
      <c r="O9" s="5">
        <v>100</v>
      </c>
      <c r="P9" s="5">
        <v>100</v>
      </c>
      <c r="R9" s="1"/>
    </row>
    <row r="10" spans="2:18" x14ac:dyDescent="0.25">
      <c r="B10" s="1">
        <v>11.2</v>
      </c>
      <c r="C10" s="5" t="s">
        <v>6</v>
      </c>
      <c r="D10" s="5">
        <v>70</v>
      </c>
      <c r="E10" s="5" t="s">
        <v>6</v>
      </c>
      <c r="F10" s="5" t="s">
        <v>6</v>
      </c>
      <c r="G10" s="5">
        <v>65</v>
      </c>
      <c r="H10" s="5">
        <v>65</v>
      </c>
      <c r="I10" s="5">
        <v>90</v>
      </c>
      <c r="J10" s="5" t="s">
        <v>6</v>
      </c>
      <c r="K10" s="5">
        <v>70</v>
      </c>
      <c r="L10" s="5">
        <v>90</v>
      </c>
      <c r="M10" s="5">
        <v>100</v>
      </c>
      <c r="N10" s="5">
        <v>100</v>
      </c>
      <c r="O10" s="5">
        <v>90</v>
      </c>
      <c r="P10" s="5">
        <v>100</v>
      </c>
      <c r="R10" s="1"/>
    </row>
    <row r="11" spans="2:18" x14ac:dyDescent="0.25">
      <c r="B11" s="1">
        <v>8</v>
      </c>
      <c r="C11" s="5">
        <v>42</v>
      </c>
      <c r="D11" s="5">
        <v>50</v>
      </c>
      <c r="E11" s="5">
        <v>33</v>
      </c>
      <c r="F11" s="5">
        <v>42</v>
      </c>
      <c r="G11" s="5">
        <v>50</v>
      </c>
      <c r="H11" s="5" t="s">
        <v>6</v>
      </c>
      <c r="I11" s="5">
        <v>60</v>
      </c>
      <c r="J11" s="5">
        <v>45</v>
      </c>
      <c r="K11" s="5">
        <v>55</v>
      </c>
      <c r="L11" s="5">
        <v>70</v>
      </c>
      <c r="M11" s="5">
        <v>90</v>
      </c>
      <c r="N11" s="5">
        <v>100</v>
      </c>
      <c r="O11" s="5">
        <v>60</v>
      </c>
      <c r="P11" s="5">
        <v>90</v>
      </c>
      <c r="R11" s="1"/>
    </row>
    <row r="12" spans="2:18" x14ac:dyDescent="0.25">
      <c r="B12" s="1">
        <v>5.6</v>
      </c>
      <c r="C12" s="5" t="s">
        <v>6</v>
      </c>
      <c r="D12" s="5" t="s">
        <v>6</v>
      </c>
      <c r="E12" s="5" t="s">
        <v>6</v>
      </c>
      <c r="F12" s="5" t="s">
        <v>6</v>
      </c>
      <c r="G12" s="5" t="s">
        <v>6</v>
      </c>
      <c r="H12" s="5" t="s">
        <v>6</v>
      </c>
      <c r="I12" s="5" t="s">
        <v>6</v>
      </c>
      <c r="J12" s="5" t="s">
        <v>6</v>
      </c>
      <c r="K12" s="5" t="s">
        <v>6</v>
      </c>
      <c r="L12" s="5" t="s">
        <v>6</v>
      </c>
      <c r="M12" s="5">
        <v>70</v>
      </c>
      <c r="N12" s="5">
        <v>90</v>
      </c>
      <c r="O12" s="5">
        <v>48</v>
      </c>
      <c r="P12" s="5">
        <v>60</v>
      </c>
      <c r="R12" s="1"/>
    </row>
    <row r="13" spans="2:18" x14ac:dyDescent="0.25">
      <c r="B13" s="1">
        <v>4</v>
      </c>
      <c r="C13" s="5" t="s">
        <v>6</v>
      </c>
      <c r="D13" s="5" t="s">
        <v>6</v>
      </c>
      <c r="E13" s="5" t="s">
        <v>6</v>
      </c>
      <c r="F13" s="5" t="s">
        <v>6</v>
      </c>
      <c r="G13" s="5" t="s">
        <v>6</v>
      </c>
      <c r="H13" s="5">
        <v>25</v>
      </c>
      <c r="I13" s="5" t="s">
        <v>6</v>
      </c>
      <c r="J13" s="5" t="s">
        <v>6</v>
      </c>
      <c r="K13" s="5" t="s">
        <v>6</v>
      </c>
      <c r="L13" s="5" t="s">
        <v>6</v>
      </c>
      <c r="M13" s="33" t="s">
        <v>6</v>
      </c>
      <c r="N13" s="33" t="s">
        <v>6</v>
      </c>
      <c r="O13" s="5">
        <v>42</v>
      </c>
      <c r="P13" s="5">
        <v>48</v>
      </c>
      <c r="R13" s="1"/>
    </row>
    <row r="14" spans="2:18" x14ac:dyDescent="0.25">
      <c r="B14" s="1">
        <v>2</v>
      </c>
      <c r="C14" s="5">
        <v>15</v>
      </c>
      <c r="D14" s="5">
        <v>25</v>
      </c>
      <c r="E14" s="5">
        <v>10</v>
      </c>
      <c r="F14" s="5">
        <v>15</v>
      </c>
      <c r="G14" s="5">
        <v>25</v>
      </c>
      <c r="H14" s="5" t="s">
        <v>6</v>
      </c>
      <c r="I14" s="5">
        <v>30</v>
      </c>
      <c r="J14" s="5">
        <v>20</v>
      </c>
      <c r="K14" s="5">
        <v>25</v>
      </c>
      <c r="L14" s="5">
        <v>30</v>
      </c>
      <c r="M14" s="5">
        <v>45</v>
      </c>
      <c r="N14" s="5">
        <v>40</v>
      </c>
      <c r="O14" s="5">
        <v>35</v>
      </c>
      <c r="P14" s="5">
        <v>40</v>
      </c>
      <c r="R14" s="1"/>
    </row>
    <row r="15" spans="2:18" x14ac:dyDescent="0.25">
      <c r="B15" s="1">
        <v>0.125</v>
      </c>
      <c r="C15" s="5">
        <v>5</v>
      </c>
      <c r="D15" s="5">
        <v>5</v>
      </c>
      <c r="E15" s="5">
        <v>4</v>
      </c>
      <c r="F15" s="5">
        <v>4</v>
      </c>
      <c r="G15" s="5">
        <v>5</v>
      </c>
      <c r="H15" s="5">
        <v>5</v>
      </c>
      <c r="I15" s="5">
        <v>6</v>
      </c>
      <c r="J15" s="5">
        <v>4</v>
      </c>
      <c r="K15" s="5">
        <v>4</v>
      </c>
      <c r="L15" s="5">
        <v>8</v>
      </c>
      <c r="M15" s="5">
        <v>8</v>
      </c>
      <c r="N15" s="5">
        <v>8</v>
      </c>
      <c r="O15" s="5">
        <v>8</v>
      </c>
      <c r="P15" s="5">
        <v>8</v>
      </c>
      <c r="R15" s="1"/>
    </row>
    <row r="16" spans="2:18" x14ac:dyDescent="0.25">
      <c r="B16" s="1">
        <v>6.3E-2</v>
      </c>
      <c r="C16" s="5">
        <v>4</v>
      </c>
      <c r="D16" s="5">
        <v>4</v>
      </c>
      <c r="E16" s="5">
        <v>3</v>
      </c>
      <c r="F16" s="5">
        <v>4</v>
      </c>
      <c r="G16" s="5">
        <v>4</v>
      </c>
      <c r="H16" s="5">
        <v>3</v>
      </c>
      <c r="I16" s="5">
        <v>3</v>
      </c>
      <c r="J16" s="5">
        <v>4</v>
      </c>
      <c r="K16" s="5">
        <v>4</v>
      </c>
      <c r="L16" s="5">
        <v>5</v>
      </c>
      <c r="M16" s="5">
        <v>6</v>
      </c>
      <c r="N16" s="5">
        <v>6</v>
      </c>
      <c r="O16" s="5">
        <v>5</v>
      </c>
      <c r="P16" s="5">
        <v>5</v>
      </c>
      <c r="R16" s="1"/>
    </row>
    <row r="17" spans="2:18" x14ac:dyDescent="0.25"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2:18" x14ac:dyDescent="0.25">
      <c r="B18" s="4" t="s">
        <v>1</v>
      </c>
      <c r="C18" s="4" t="s">
        <v>3</v>
      </c>
      <c r="D18" s="4" t="s">
        <v>3</v>
      </c>
      <c r="E18" s="4" t="s">
        <v>3</v>
      </c>
      <c r="F18" s="4" t="s">
        <v>3</v>
      </c>
      <c r="G18" s="4" t="s">
        <v>3</v>
      </c>
      <c r="H18" s="4" t="s">
        <v>3</v>
      </c>
      <c r="I18" s="4" t="s">
        <v>3</v>
      </c>
      <c r="J18" s="4" t="s">
        <v>3</v>
      </c>
      <c r="K18" s="4" t="s">
        <v>3</v>
      </c>
      <c r="L18" s="4" t="s">
        <v>3</v>
      </c>
      <c r="M18" s="4" t="s">
        <v>3</v>
      </c>
      <c r="N18" s="4" t="s">
        <v>3</v>
      </c>
      <c r="O18" s="4" t="s">
        <v>3</v>
      </c>
      <c r="P18" s="4" t="s">
        <v>3</v>
      </c>
      <c r="R18" s="4"/>
    </row>
    <row r="19" spans="2:18" x14ac:dyDescent="0.25">
      <c r="B19" s="1">
        <v>45</v>
      </c>
      <c r="C19" s="5">
        <v>100</v>
      </c>
      <c r="D19" s="5">
        <v>100</v>
      </c>
      <c r="E19" s="5">
        <v>100</v>
      </c>
      <c r="F19" s="5">
        <v>100</v>
      </c>
      <c r="G19" s="5">
        <v>100</v>
      </c>
      <c r="H19" s="5">
        <v>100</v>
      </c>
      <c r="I19" s="5">
        <v>100</v>
      </c>
      <c r="J19" s="5">
        <v>100</v>
      </c>
      <c r="K19" s="5">
        <v>100</v>
      </c>
      <c r="L19" s="5">
        <v>100</v>
      </c>
      <c r="M19" s="5">
        <v>100</v>
      </c>
      <c r="N19" s="5">
        <v>100</v>
      </c>
      <c r="O19" s="5">
        <v>100</v>
      </c>
      <c r="P19" s="5">
        <v>100</v>
      </c>
      <c r="R19" s="1"/>
    </row>
    <row r="20" spans="2:18" x14ac:dyDescent="0.25">
      <c r="B20" s="1">
        <v>31.5</v>
      </c>
      <c r="C20" s="5">
        <v>100</v>
      </c>
      <c r="D20" s="5">
        <v>100</v>
      </c>
      <c r="E20" s="5">
        <v>100</v>
      </c>
      <c r="F20" s="6">
        <v>100</v>
      </c>
      <c r="G20" s="6">
        <v>100</v>
      </c>
      <c r="H20" s="6">
        <v>100</v>
      </c>
      <c r="I20" s="6">
        <v>100</v>
      </c>
      <c r="J20" s="6">
        <v>100</v>
      </c>
      <c r="K20" s="6">
        <v>100</v>
      </c>
      <c r="L20" s="6">
        <v>100</v>
      </c>
      <c r="M20" s="6">
        <v>100</v>
      </c>
      <c r="N20" s="6">
        <v>100</v>
      </c>
      <c r="O20" s="6">
        <v>100</v>
      </c>
      <c r="P20" s="6">
        <v>100</v>
      </c>
      <c r="R20" s="1"/>
    </row>
    <row r="21" spans="2:18" x14ac:dyDescent="0.25">
      <c r="B21" s="1">
        <v>22.4</v>
      </c>
      <c r="C21" s="5">
        <v>100</v>
      </c>
      <c r="D21" s="5">
        <v>100</v>
      </c>
      <c r="E21" s="5">
        <v>90</v>
      </c>
      <c r="F21" s="6">
        <v>100</v>
      </c>
      <c r="G21" s="6">
        <v>100</v>
      </c>
      <c r="H21" s="6">
        <v>100</v>
      </c>
      <c r="I21" s="6">
        <v>100</v>
      </c>
      <c r="J21" s="6">
        <v>100</v>
      </c>
      <c r="K21" s="6">
        <v>100</v>
      </c>
      <c r="L21" s="6">
        <v>100</v>
      </c>
      <c r="M21" s="6">
        <v>100</v>
      </c>
      <c r="N21" s="6">
        <v>100</v>
      </c>
      <c r="O21" s="6">
        <v>100</v>
      </c>
      <c r="P21" s="6">
        <v>100</v>
      </c>
      <c r="R21" s="1"/>
    </row>
    <row r="22" spans="2:18" x14ac:dyDescent="0.25">
      <c r="B22" s="1">
        <v>16</v>
      </c>
      <c r="C22" s="5">
        <v>93</v>
      </c>
      <c r="D22" s="5">
        <v>100</v>
      </c>
      <c r="E22" s="5" t="s">
        <v>6</v>
      </c>
      <c r="F22" s="6">
        <v>90</v>
      </c>
      <c r="G22" s="6">
        <v>100</v>
      </c>
      <c r="H22" s="6">
        <v>100</v>
      </c>
      <c r="I22" s="6">
        <v>100</v>
      </c>
      <c r="J22" s="6">
        <v>90</v>
      </c>
      <c r="K22" s="6">
        <v>100</v>
      </c>
      <c r="L22" s="6">
        <v>100</v>
      </c>
      <c r="M22" s="6">
        <v>100</v>
      </c>
      <c r="N22" s="6">
        <v>100</v>
      </c>
      <c r="O22" s="6">
        <v>100</v>
      </c>
      <c r="P22" s="6">
        <v>100</v>
      </c>
      <c r="R22" s="1"/>
    </row>
    <row r="23" spans="2:18" x14ac:dyDescent="0.25">
      <c r="B23" s="1">
        <v>11.2</v>
      </c>
      <c r="C23" s="5" t="s">
        <v>6</v>
      </c>
      <c r="D23" s="5">
        <v>92</v>
      </c>
      <c r="E23" s="5" t="s">
        <v>6</v>
      </c>
      <c r="F23" s="5" t="s">
        <v>6</v>
      </c>
      <c r="G23" s="6">
        <v>85</v>
      </c>
      <c r="H23" s="6">
        <v>80</v>
      </c>
      <c r="I23" s="6">
        <v>100</v>
      </c>
      <c r="J23" s="5" t="s">
        <v>6</v>
      </c>
      <c r="K23" s="6">
        <v>90</v>
      </c>
      <c r="L23" s="6">
        <v>100</v>
      </c>
      <c r="M23" s="6">
        <v>100</v>
      </c>
      <c r="N23" s="6">
        <v>100</v>
      </c>
      <c r="O23" s="6">
        <v>100</v>
      </c>
      <c r="P23" s="6">
        <v>100</v>
      </c>
      <c r="R23" s="1"/>
    </row>
    <row r="24" spans="2:18" x14ac:dyDescent="0.25">
      <c r="B24" s="1">
        <v>8</v>
      </c>
      <c r="C24" s="5">
        <v>72</v>
      </c>
      <c r="D24" s="5">
        <v>85</v>
      </c>
      <c r="E24" s="5">
        <v>53</v>
      </c>
      <c r="F24" s="6">
        <v>68</v>
      </c>
      <c r="G24" s="6">
        <v>76</v>
      </c>
      <c r="H24" s="5" t="s">
        <v>6</v>
      </c>
      <c r="I24" s="6">
        <v>85</v>
      </c>
      <c r="J24" s="6">
        <v>70</v>
      </c>
      <c r="K24" s="6">
        <v>80</v>
      </c>
      <c r="L24" s="6">
        <v>90</v>
      </c>
      <c r="M24" s="6">
        <v>100</v>
      </c>
      <c r="N24" s="6">
        <v>100</v>
      </c>
      <c r="O24" s="6">
        <v>90</v>
      </c>
      <c r="P24" s="6">
        <v>100</v>
      </c>
      <c r="R24" s="1"/>
    </row>
    <row r="25" spans="2:18" x14ac:dyDescent="0.25">
      <c r="B25" s="1">
        <v>5.6</v>
      </c>
      <c r="C25" s="5" t="s">
        <v>6</v>
      </c>
      <c r="D25" s="5" t="s">
        <v>6</v>
      </c>
      <c r="E25" s="5" t="s">
        <v>6</v>
      </c>
      <c r="F25" s="5" t="s">
        <v>6</v>
      </c>
      <c r="G25" s="5" t="s">
        <v>6</v>
      </c>
      <c r="H25" s="5" t="s">
        <v>6</v>
      </c>
      <c r="I25" s="5" t="s">
        <v>6</v>
      </c>
      <c r="J25" s="5" t="s">
        <v>6</v>
      </c>
      <c r="K25" s="5" t="s">
        <v>6</v>
      </c>
      <c r="L25" s="5" t="s">
        <v>6</v>
      </c>
      <c r="M25" s="6">
        <v>90</v>
      </c>
      <c r="N25" s="6">
        <v>100</v>
      </c>
      <c r="O25" s="6">
        <v>75</v>
      </c>
      <c r="P25" s="6">
        <v>80</v>
      </c>
      <c r="R25" s="1"/>
    </row>
    <row r="26" spans="2:18" x14ac:dyDescent="0.25">
      <c r="B26" s="1">
        <v>4</v>
      </c>
      <c r="C26" s="5" t="s">
        <v>6</v>
      </c>
      <c r="D26" s="5" t="s">
        <v>6</v>
      </c>
      <c r="E26" s="5" t="s">
        <v>6</v>
      </c>
      <c r="F26" s="5" t="s">
        <v>6</v>
      </c>
      <c r="G26" s="5" t="s">
        <v>6</v>
      </c>
      <c r="H26" s="5" t="s">
        <v>6</v>
      </c>
      <c r="I26" s="5" t="s">
        <v>6</v>
      </c>
      <c r="J26" s="5" t="s">
        <v>6</v>
      </c>
      <c r="K26" s="5" t="s">
        <v>6</v>
      </c>
      <c r="L26" s="5" t="s">
        <v>6</v>
      </c>
      <c r="M26" s="32" t="s">
        <v>6</v>
      </c>
      <c r="N26" s="32" t="s">
        <v>6</v>
      </c>
      <c r="O26" s="6">
        <v>60</v>
      </c>
      <c r="P26" s="6">
        <v>60</v>
      </c>
      <c r="R26" s="1"/>
    </row>
    <row r="27" spans="2:18" x14ac:dyDescent="0.25">
      <c r="B27" s="1">
        <v>2</v>
      </c>
      <c r="C27" s="5">
        <v>45</v>
      </c>
      <c r="D27" s="5">
        <v>50</v>
      </c>
      <c r="E27" s="5">
        <v>40</v>
      </c>
      <c r="F27" s="6">
        <v>45</v>
      </c>
      <c r="G27" s="6">
        <v>50</v>
      </c>
      <c r="H27" s="6">
        <v>55</v>
      </c>
      <c r="I27" s="6">
        <v>55</v>
      </c>
      <c r="J27" s="6">
        <v>45</v>
      </c>
      <c r="K27" s="6">
        <v>50</v>
      </c>
      <c r="L27" s="6">
        <v>55</v>
      </c>
      <c r="M27" s="6">
        <v>60</v>
      </c>
      <c r="N27" s="6">
        <v>65</v>
      </c>
      <c r="O27" s="6">
        <v>50</v>
      </c>
      <c r="P27" s="6">
        <v>55</v>
      </c>
      <c r="R27" s="1"/>
    </row>
    <row r="28" spans="2:18" x14ac:dyDescent="0.25">
      <c r="B28" s="1">
        <v>0.125</v>
      </c>
      <c r="C28" s="5">
        <v>13</v>
      </c>
      <c r="D28" s="5">
        <v>13</v>
      </c>
      <c r="E28" s="5">
        <v>12</v>
      </c>
      <c r="F28" s="6">
        <v>12</v>
      </c>
      <c r="G28" s="6">
        <v>12</v>
      </c>
      <c r="H28" s="6">
        <v>15</v>
      </c>
      <c r="I28" s="6">
        <v>24</v>
      </c>
      <c r="J28" s="6">
        <v>12</v>
      </c>
      <c r="K28" s="6">
        <v>12</v>
      </c>
      <c r="L28" s="6">
        <v>20</v>
      </c>
      <c r="M28" s="6">
        <v>22</v>
      </c>
      <c r="N28" s="6">
        <v>22</v>
      </c>
      <c r="O28" s="6">
        <v>20</v>
      </c>
      <c r="P28" s="6">
        <v>22</v>
      </c>
      <c r="R28" s="1"/>
    </row>
    <row r="29" spans="2:18" x14ac:dyDescent="0.25">
      <c r="B29" s="1">
        <v>6.3E-2</v>
      </c>
      <c r="C29" s="5">
        <v>10</v>
      </c>
      <c r="D29" s="5">
        <v>10</v>
      </c>
      <c r="E29" s="5">
        <v>7</v>
      </c>
      <c r="F29" s="6">
        <v>8</v>
      </c>
      <c r="G29" s="6">
        <v>8</v>
      </c>
      <c r="H29" s="6">
        <v>8</v>
      </c>
      <c r="I29" s="6">
        <v>8</v>
      </c>
      <c r="J29" s="6">
        <v>10</v>
      </c>
      <c r="K29" s="6">
        <v>10</v>
      </c>
      <c r="L29" s="6">
        <v>12</v>
      </c>
      <c r="M29" s="6">
        <v>14</v>
      </c>
      <c r="N29" s="6">
        <v>14</v>
      </c>
      <c r="O29" s="6">
        <v>11</v>
      </c>
      <c r="P29" s="6">
        <v>12</v>
      </c>
      <c r="R29" s="1"/>
    </row>
    <row r="30" spans="2:18" x14ac:dyDescent="0.25">
      <c r="B30" s="7"/>
      <c r="C30" s="7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R30" s="7"/>
    </row>
    <row r="31" spans="2:18" x14ac:dyDescent="0.25">
      <c r="B31" s="10" t="s">
        <v>4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R31" s="10"/>
    </row>
    <row r="32" spans="2:18" x14ac:dyDescent="0.25">
      <c r="B32" s="9" t="s">
        <v>5</v>
      </c>
      <c r="C32" s="11">
        <v>4.2</v>
      </c>
      <c r="D32" s="11">
        <v>4.4000000000000004</v>
      </c>
      <c r="E32" s="11">
        <v>3.8</v>
      </c>
      <c r="F32" s="11">
        <v>4</v>
      </c>
      <c r="G32" s="11">
        <v>4.2</v>
      </c>
      <c r="H32" s="11">
        <v>4.5999999999999996</v>
      </c>
      <c r="I32" s="11">
        <v>4.8</v>
      </c>
      <c r="J32" s="11">
        <v>4.5999999999999996</v>
      </c>
      <c r="K32" s="11">
        <v>4.4000000000000004</v>
      </c>
      <c r="L32" s="11">
        <v>5.8</v>
      </c>
      <c r="M32" s="11">
        <v>6</v>
      </c>
      <c r="N32" s="11">
        <v>6.2</v>
      </c>
      <c r="O32" s="11">
        <v>5.8</v>
      </c>
      <c r="P32" s="11">
        <v>5.8</v>
      </c>
      <c r="R32" s="31"/>
    </row>
    <row r="33" spans="2:16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2:16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2:16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2:16" x14ac:dyDescent="0.2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</sheetData>
  <sheetProtection algorithmName="SHA-512" hashValue="I1yL5OsxW+w48ZHdaeLo/Rr83kbwHWtPm3JVYm0VyFIlSyWVG+3MLqU5rOFS5s0HqoseD25xQ/xsx+TF6f1yCA==" saltValue="wZ5r343YfilwmgYUEeT1lg==" spinCount="100000" sheet="1" objects="1" scenarios="1" selectLockedCells="1" selectUnlockedCells="1"/>
  <pageMargins left="0.7" right="0.7" top="0.75" bottom="0.75" header="0.3" footer="0.3"/>
  <pageSetup paperSize="9" orientation="portrait" r:id="rId1"/>
  <tableParts count="14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Projekt MM</vt:lpstr>
      <vt:lpstr>Wykres</vt:lpstr>
      <vt:lpstr>Krzywe gran. + zaw. asf. WT-2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B</dc:creator>
  <cp:lastModifiedBy>M B</cp:lastModifiedBy>
  <cp:lastPrinted>2024-11-29T21:38:26Z</cp:lastPrinted>
  <dcterms:created xsi:type="dcterms:W3CDTF">2024-11-29T12:07:19Z</dcterms:created>
  <dcterms:modified xsi:type="dcterms:W3CDTF">2025-03-17T19:16:04Z</dcterms:modified>
</cp:coreProperties>
</file>