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ropbox\Politechnika Poznańska\Organizacyjne\Koło Naukowe Budownictwa Drogowego\Case Study\"/>
    </mc:Choice>
  </mc:AlternateContent>
  <bookViews>
    <workbookView xWindow="0" yWindow="0" windowWidth="38400" windowHeight="17115"/>
  </bookViews>
  <sheets>
    <sheet name="dane projektowe - design data " sheetId="5" r:id="rId1"/>
    <sheet name="trasa w planie - H aligment" sheetId="2" r:id="rId2"/>
    <sheet name="łuki poziome - H curve" sheetId="3" r:id="rId3"/>
    <sheet name="łuki pionowe - V curve" sheetId="6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2" l="1"/>
  <c r="D215" i="3" l="1"/>
  <c r="C496" i="3" l="1"/>
  <c r="C161" i="6" l="1"/>
  <c r="C137" i="6"/>
  <c r="C81" i="6"/>
  <c r="C46" i="6"/>
  <c r="C35" i="6"/>
  <c r="G342" i="3"/>
  <c r="G340" i="3"/>
  <c r="D338" i="3"/>
  <c r="G338" i="3" s="1"/>
  <c r="G336" i="3"/>
  <c r="C98" i="3"/>
  <c r="F98" i="3" s="1"/>
  <c r="G97" i="3"/>
  <c r="C97" i="3"/>
  <c r="E90" i="3"/>
  <c r="B204" i="3" s="1"/>
  <c r="E69" i="3"/>
  <c r="C410" i="3" s="1"/>
  <c r="F410" i="3" s="1"/>
  <c r="E45" i="3"/>
  <c r="D334" i="3" s="1"/>
  <c r="G334" i="3" s="1"/>
  <c r="E43" i="3"/>
  <c r="I43" i="3" s="1"/>
  <c r="L31" i="2"/>
  <c r="L30" i="2"/>
  <c r="L28" i="2"/>
  <c r="L27" i="2"/>
  <c r="K14" i="2"/>
  <c r="K13" i="2"/>
  <c r="K20" i="2" s="1"/>
  <c r="R10" i="5"/>
  <c r="O10" i="5"/>
  <c r="O4" i="5"/>
  <c r="K25" i="5" l="1"/>
  <c r="D345" i="3"/>
  <c r="H449" i="3" s="1"/>
  <c r="C470" i="3"/>
  <c r="B194" i="3"/>
  <c r="L34" i="2"/>
  <c r="E41" i="2" s="1"/>
  <c r="E43" i="2" s="1"/>
  <c r="E45" i="2" s="1"/>
  <c r="E49" i="3"/>
  <c r="E47" i="3"/>
  <c r="C280" i="3"/>
  <c r="D449" i="3" s="1"/>
  <c r="D180" i="3"/>
  <c r="H194" i="3" s="1"/>
  <c r="D149" i="3"/>
  <c r="F194" i="3" s="1"/>
  <c r="D123" i="3"/>
  <c r="D194" i="3" s="1"/>
  <c r="I69" i="3"/>
  <c r="E71" i="3" s="1"/>
  <c r="D391" i="3"/>
  <c r="N455" i="3" s="1"/>
  <c r="D415" i="3"/>
  <c r="P455" i="3" s="1"/>
  <c r="C292" i="3"/>
  <c r="F449" i="3" s="1"/>
  <c r="N465" i="3"/>
  <c r="C472" i="3"/>
  <c r="D413" i="3"/>
  <c r="P449" i="3" s="1"/>
  <c r="B449" i="3"/>
  <c r="C241" i="3"/>
  <c r="C245" i="3" s="1"/>
  <c r="F245" i="3" s="1"/>
  <c r="C372" i="3"/>
  <c r="F372" i="3" s="1"/>
  <c r="D375" i="3" s="1"/>
  <c r="L455" i="3" s="1"/>
  <c r="D460" i="3" s="1"/>
  <c r="D389" i="3"/>
  <c r="N449" i="3" s="1"/>
  <c r="C294" i="3"/>
  <c r="F455" i="3" s="1"/>
  <c r="C37" i="6"/>
  <c r="F37" i="6" s="1"/>
  <c r="C188" i="6"/>
  <c r="C87" i="6"/>
  <c r="C128" i="6"/>
  <c r="C205" i="6" s="1"/>
  <c r="C98" i="6"/>
  <c r="C110" i="6" s="1"/>
  <c r="C50" i="6" l="1"/>
  <c r="C108" i="6" s="1"/>
  <c r="K194" i="3"/>
  <c r="H45" i="2"/>
  <c r="K6" i="5"/>
  <c r="O6" i="5" s="1"/>
  <c r="E70" i="2"/>
  <c r="E67" i="2" s="1"/>
  <c r="C485" i="3"/>
  <c r="E51" i="3"/>
  <c r="D358" i="3"/>
  <c r="D360" i="3" s="1"/>
  <c r="J449" i="3" s="1"/>
  <c r="B460" i="3" s="1"/>
  <c r="C190" i="6"/>
  <c r="C193" i="6" s="1"/>
  <c r="C208" i="6"/>
  <c r="C96" i="6"/>
  <c r="C85" i="6"/>
  <c r="C94" i="6" s="1"/>
  <c r="C146" i="6"/>
  <c r="C157" i="6" s="1"/>
  <c r="B100" i="6"/>
  <c r="C135" i="6"/>
  <c r="B89" i="6"/>
  <c r="C106" i="6" l="1"/>
  <c r="B112" i="6"/>
  <c r="E485" i="3"/>
  <c r="C498" i="3"/>
  <c r="C508" i="3" s="1"/>
  <c r="F190" i="6"/>
  <c r="C150" i="6"/>
  <c r="C148" i="6"/>
  <c r="B139" i="6"/>
  <c r="C144" i="6"/>
  <c r="C163" i="6"/>
  <c r="B152" i="6"/>
  <c r="C159" i="6"/>
  <c r="B165" i="6" s="1"/>
  <c r="E513" i="3" l="1"/>
  <c r="E511" i="3"/>
  <c r="D515" i="3" l="1"/>
</calcChain>
</file>

<file path=xl/sharedStrings.xml><?xml version="1.0" encoding="utf-8"?>
<sst xmlns="http://schemas.openxmlformats.org/spreadsheetml/2006/main" count="578" uniqueCount="308">
  <si>
    <t>R</t>
  </si>
  <si>
    <t>B</t>
  </si>
  <si>
    <t>Współrzędne punktów wierzchołkowych trasy w planie</t>
  </si>
  <si>
    <t>Coordinates of vertex points of horizontal alignment</t>
  </si>
  <si>
    <t>1. Odległości między punktami wierzchołkowymi</t>
  </si>
  <si>
    <t>1. Distance between vertex points</t>
  </si>
  <si>
    <r>
      <t>A(X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</si>
  <si>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=</t>
    </r>
  </si>
  <si>
    <t>m</t>
  </si>
  <si>
    <r>
      <t>W</t>
    </r>
    <r>
      <rPr>
        <vertAlign val="subscript"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>(X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</si>
  <si>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</si>
  <si>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</si>
  <si>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W1</t>
    </r>
    <r>
      <rPr>
        <sz val="11"/>
        <color theme="1"/>
        <rFont val="Calibri"/>
        <family val="2"/>
        <charset val="238"/>
        <scheme val="minor"/>
      </rPr>
      <t>=</t>
    </r>
  </si>
  <si>
    <r>
      <t>W</t>
    </r>
    <r>
      <rPr>
        <vertAlign val="sub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(X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,Y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</si>
  <si>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=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</si>
  <si>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W2</t>
    </r>
    <r>
      <rPr>
        <sz val="11"/>
        <color theme="1"/>
        <rFont val="Calibri"/>
        <family val="2"/>
        <charset val="238"/>
        <scheme val="minor"/>
      </rPr>
      <t>=</t>
    </r>
  </si>
  <si>
    <t>____</t>
  </si>
  <si>
    <t>______</t>
  </si>
  <si>
    <t>AW1</t>
  </si>
  <si>
    <t>=</t>
  </si>
  <si>
    <t>W1W2</t>
  </si>
  <si>
    <t>2. Kąt zwrotu trasy w planie</t>
  </si>
  <si>
    <t xml:space="preserve">2. Deflection angle of horizontal alignment </t>
  </si>
  <si>
    <t>AW2</t>
  </si>
  <si>
    <r>
      <t xml:space="preserve">cos </t>
    </r>
    <r>
      <rPr>
        <sz val="11"/>
        <color theme="1"/>
        <rFont val="Calibri"/>
        <family val="2"/>
        <charset val="238"/>
      </rPr>
      <t>β</t>
    </r>
    <r>
      <rPr>
        <vertAlign val="subscript"/>
        <sz val="11"/>
        <color theme="1"/>
        <rFont val="Calibri"/>
        <family val="2"/>
        <charset val="238"/>
      </rPr>
      <t>1</t>
    </r>
  </si>
  <si>
    <t>β1</t>
  </si>
  <si>
    <t>°</t>
  </si>
  <si>
    <r>
      <rPr>
        <sz val="11"/>
        <color theme="1"/>
        <rFont val="Calibri"/>
        <family val="2"/>
        <charset val="238"/>
      </rPr>
      <t>γ</t>
    </r>
    <r>
      <rPr>
        <vertAlign val="subscript"/>
        <sz val="11"/>
        <color theme="1"/>
        <rFont val="Calibri"/>
        <family val="2"/>
        <charset val="238"/>
      </rPr>
      <t>1</t>
    </r>
  </si>
  <si>
    <t>3. Krętość odcinka drogi</t>
  </si>
  <si>
    <t>3. Tortuosity of the road section</t>
  </si>
  <si>
    <t>obliczenia/calculartion</t>
  </si>
  <si>
    <t>K</t>
  </si>
  <si>
    <r>
      <t>γ</t>
    </r>
    <r>
      <rPr>
        <vertAlign val="subscript"/>
        <sz val="11"/>
        <color theme="1"/>
        <rFont val="Calibri"/>
        <family val="2"/>
        <charset val="238"/>
      </rPr>
      <t>2</t>
    </r>
  </si>
  <si>
    <r>
      <t>γ</t>
    </r>
    <r>
      <rPr>
        <vertAlign val="subscript"/>
        <sz val="11"/>
        <color theme="1"/>
        <rFont val="Calibri"/>
        <family val="2"/>
        <charset val="238"/>
      </rPr>
      <t>3</t>
    </r>
  </si>
  <si>
    <r>
      <t>γ</t>
    </r>
    <r>
      <rPr>
        <vertAlign val="subscript"/>
        <sz val="11"/>
        <color theme="1"/>
        <rFont val="Calibri"/>
        <family val="2"/>
        <charset val="238"/>
      </rPr>
      <t>4</t>
    </r>
  </si>
  <si>
    <t>L</t>
  </si>
  <si>
    <t>km</t>
  </si>
  <si>
    <t>°/km</t>
  </si>
  <si>
    <t>Sprawdzenie przyjętych łuków kołowych dla trasy  w planie</t>
  </si>
  <si>
    <t>Checking the requirements for the assumed radius of horizontal curves</t>
  </si>
  <si>
    <t>R =</t>
  </si>
  <si>
    <t>%</t>
  </si>
  <si>
    <t>+     w przypadku przekroju drogi na łuku o przechyłce jednostronnej ; in the case of a cross-section of road on curve with one-side slope</t>
  </si>
  <si>
    <t xml:space="preserve"> -     w przypadku przekroju drogi na łuku o przechyłce dwustronnej ; in the case of a cross-section of road on curve with two-side slope</t>
  </si>
  <si>
    <t>V=</t>
  </si>
  <si>
    <t>km/h</t>
  </si>
  <si>
    <t>=&gt;</t>
  </si>
  <si>
    <t>m/s</t>
  </si>
  <si>
    <t>1. Warunek stateczności na wywrócenie</t>
  </si>
  <si>
    <t xml:space="preserve">1. Roll-over stability condition </t>
  </si>
  <si>
    <t>b=</t>
  </si>
  <si>
    <t>h=</t>
  </si>
  <si>
    <t>Rmin</t>
  </si>
  <si>
    <t>2. Warunek stateczności na zarzucenie</t>
  </si>
  <si>
    <t>2. Slip stability condition</t>
  </si>
  <si>
    <t>3. Warunek komfortu jazdy</t>
  </si>
  <si>
    <t xml:space="preserve">3. Driving comfort condition </t>
  </si>
  <si>
    <t>R 1)</t>
  </si>
  <si>
    <t>R 2)</t>
  </si>
  <si>
    <t>R 3)</t>
  </si>
  <si>
    <t>Zalecane minimalne promienie łuków dla trasy w planie</t>
  </si>
  <si>
    <t>Recommended minimum horizontal curve radius</t>
  </si>
  <si>
    <t>a) ze względu na czas przejazdu</t>
  </si>
  <si>
    <t>a) due to ride time</t>
  </si>
  <si>
    <t>where:</t>
  </si>
  <si>
    <t xml:space="preserve">γ - deflection angle of horizontal alignment 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</si>
  <si>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- design speed</t>
    </r>
  </si>
  <si>
    <t>wg WR-D-22-2</t>
  </si>
  <si>
    <t>Recommended straight section lengths</t>
  </si>
  <si>
    <t>the greatest length of the straight section [m]</t>
  </si>
  <si>
    <t>the shortest length of a straight section between curved sections of the same direction of deflection [m]</t>
  </si>
  <si>
    <t>Relationship between the horizontal curve radius and the transverse slope</t>
  </si>
  <si>
    <t xml:space="preserve"> with a single-slope road section width exceeding 10.00 m (in accordance with subchapter 4.4.2)</t>
  </si>
  <si>
    <r>
      <rPr>
        <vertAlign val="superscript"/>
        <sz val="11"/>
        <color theme="1"/>
        <rFont val="Calibri"/>
        <family val="2"/>
        <charset val="238"/>
        <scheme val="minor"/>
      </rPr>
      <t>1)</t>
    </r>
    <r>
      <rPr>
        <sz val="11"/>
        <color theme="1"/>
        <rFont val="Calibri"/>
        <family val="2"/>
        <charset val="238"/>
        <scheme val="minor"/>
      </rPr>
      <t xml:space="preserve"> A 2% transversive slope is not permitted on a class A, S or GP road or on a class G, Z, L or D road</t>
    </r>
  </si>
  <si>
    <r>
      <rPr>
        <vertAlign val="superscript"/>
        <sz val="11"/>
        <color theme="1"/>
        <rFont val="Calibri"/>
        <family val="2"/>
        <charset val="238"/>
        <scheme val="minor"/>
      </rPr>
      <t>2)</t>
    </r>
    <r>
      <rPr>
        <sz val="11"/>
        <color theme="1"/>
        <rFont val="Calibri"/>
        <family val="2"/>
        <charset val="238"/>
        <scheme val="minor"/>
      </rPr>
      <t xml:space="preserve"> It is not recommended to use</t>
    </r>
  </si>
  <si>
    <t>As in a straight section</t>
  </si>
  <si>
    <t>-2,5   -2,0</t>
  </si>
  <si>
    <t>Wartość promienia łuku kołowego w planie i pochylenia poprzecznego można:</t>
  </si>
  <si>
    <t>The radius of a horizontal curve and the transverse slope can be:</t>
  </si>
  <si>
    <t>R - radius of horizontal curve[m], the calculation result can be rounded, but not more than to ±5% of the value calculated from the formula</t>
  </si>
  <si>
    <t>127 - coefficient resulting from the conversion of units</t>
  </si>
  <si>
    <t>0,925 - coefficient taking into account the reduction of the coefficient of friction in the transverse direction in relation to the coefficient of friction in the longitudinal direction</t>
  </si>
  <si>
    <t>q - traversive slope [%]; generates values: as for example straight (with slope ≤ -2%) and from 2 to 7%,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</si>
  <si>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- design speed [km/h]</t>
    </r>
  </si>
  <si>
    <t>n -unit coefficient of the friction coefficient f, permitted for use in the direction perpendicular to the drive [-]; the value n is assumed due to:</t>
  </si>
  <si>
    <t>0,20    for</t>
  </si>
  <si>
    <t>0.06q - 0.02    for</t>
  </si>
  <si>
    <t>f - the nominal friction coefficient [-]; the value of f is taken from (7.1.3)</t>
  </si>
  <si>
    <t>q</t>
  </si>
  <si>
    <t>n</t>
  </si>
  <si>
    <t>f</t>
  </si>
  <si>
    <t>accordance to WR-D-22-2</t>
  </si>
  <si>
    <r>
      <t>γ</t>
    </r>
    <r>
      <rPr>
        <b/>
        <vertAlign val="subscript"/>
        <sz val="11"/>
        <color rgb="FFFF0000"/>
        <rFont val="Calibri"/>
        <family val="2"/>
        <charset val="238"/>
      </rPr>
      <t>1</t>
    </r>
  </si>
  <si>
    <t>1) obliczyć / calculate</t>
  </si>
  <si>
    <t>2) przyjąć wg tabeli / adopted according to the table</t>
  </si>
  <si>
    <r>
      <t>V</t>
    </r>
    <r>
      <rPr>
        <b/>
        <vertAlign val="subscript"/>
        <sz val="11"/>
        <color rgb="FF7030A0"/>
        <rFont val="Calibri"/>
        <family val="2"/>
        <charset val="238"/>
        <scheme val="minor"/>
      </rPr>
      <t>dp</t>
    </r>
  </si>
  <si>
    <t>&lt; 9°</t>
  </si>
  <si>
    <t>bład/error</t>
  </si>
  <si>
    <t>Wprowadź dane</t>
  </si>
  <si>
    <t>Enter the data</t>
  </si>
  <si>
    <t>prędkość do projektowania / design speed</t>
  </si>
  <si>
    <t>kąt zwrotu trasy/deflection angle</t>
  </si>
  <si>
    <t>rad</t>
  </si>
  <si>
    <t>długość odcinka prostego / length of straight section</t>
  </si>
  <si>
    <t>promień łuku / radius of horizontal curve</t>
  </si>
  <si>
    <t>γ</t>
  </si>
  <si>
    <t>b) ze względu na widoczność w nocy</t>
  </si>
  <si>
    <t>b) due to visibility at night</t>
  </si>
  <si>
    <t>Minimum recommended radius of horizontal curve ensuring visibility of the path lane in the light of headlights</t>
  </si>
  <si>
    <t>wpisać z tabeli / enter from the table</t>
  </si>
  <si>
    <t>Przyjęty promień łuku dla trasy w planie / Assumed radius of horizontal curve</t>
  </si>
  <si>
    <r>
      <t>R</t>
    </r>
    <r>
      <rPr>
        <b/>
        <vertAlign val="subscript"/>
        <sz val="11"/>
        <color theme="5" tint="-0.249977111117893"/>
        <rFont val="Calibri"/>
        <family val="2"/>
        <charset val="238"/>
        <scheme val="minor"/>
      </rPr>
      <t>min</t>
    </r>
  </si>
  <si>
    <t>pochylenie poprzeczne / traversive slope</t>
  </si>
  <si>
    <t>wpisz / enter</t>
  </si>
  <si>
    <t>dane / data</t>
  </si>
  <si>
    <r>
      <t>i</t>
    </r>
    <r>
      <rPr>
        <vertAlign val="subscript"/>
        <sz val="11"/>
        <color theme="1"/>
        <rFont val="Calibri"/>
        <family val="2"/>
        <charset val="238"/>
        <scheme val="minor"/>
      </rPr>
      <t>0</t>
    </r>
    <r>
      <rPr>
        <sz val="11"/>
        <color theme="1"/>
        <rFont val="Calibri"/>
        <family val="2"/>
        <charset val="238"/>
        <scheme val="minor"/>
      </rPr>
      <t xml:space="preserve"> =</t>
    </r>
  </si>
  <si>
    <r>
      <t>φ</t>
    </r>
    <r>
      <rPr>
        <b/>
        <i/>
        <vertAlign val="subscript"/>
        <sz val="11"/>
        <color rgb="FF7030A0"/>
        <rFont val="Calibri"/>
        <family val="2"/>
        <charset val="238"/>
      </rPr>
      <t>R</t>
    </r>
    <r>
      <rPr>
        <b/>
        <i/>
        <sz val="11"/>
        <color rgb="FF7030A0"/>
        <rFont val="Calibri"/>
        <family val="2"/>
        <charset val="238"/>
      </rPr>
      <t>=</t>
    </r>
  </si>
  <si>
    <r>
      <rPr>
        <b/>
        <sz val="11"/>
        <color rgb="FF7030A0"/>
        <rFont val="Calibri"/>
        <family val="2"/>
        <charset val="238"/>
      </rPr>
      <t>μ</t>
    </r>
    <r>
      <rPr>
        <b/>
        <i/>
        <sz val="11"/>
        <color rgb="FF7030A0"/>
        <rFont val="Calibri"/>
        <family val="2"/>
        <charset val="238"/>
      </rPr>
      <t>=</t>
    </r>
  </si>
  <si>
    <t>R1 =</t>
  </si>
  <si>
    <t>R2 =</t>
  </si>
  <si>
    <t>Sprawdzenie stosunku promieni łuków sąsiednich</t>
  </si>
  <si>
    <t>Checking the ratio of the radius of adjacent horizontal curves</t>
  </si>
  <si>
    <t>Podaj promienie łuków sąsiednich</t>
  </si>
  <si>
    <t>Enter the radius of adjacent horizontal curves</t>
  </si>
  <si>
    <t>ratio</t>
  </si>
  <si>
    <t>The value of the smaller radius</t>
  </si>
  <si>
    <t>The largest ratio of radius adjacent horizontal curves</t>
  </si>
  <si>
    <t>Recommended maximum values ​​of the ratio of radius adjacent horizontal curves</t>
  </si>
  <si>
    <t>Sprawdzenie stosunku promienia łuku do długości odcinka prostego</t>
  </si>
  <si>
    <t>Checking the ratio of horizontal curve radius to the length of the straight section</t>
  </si>
  <si>
    <t>Podaj długość odcinka prostego</t>
  </si>
  <si>
    <t>Enter the length of the straight section</t>
  </si>
  <si>
    <t>L =</t>
  </si>
  <si>
    <t>Wyznaczenie parametru „a” klotoidy</t>
  </si>
  <si>
    <t xml:space="preserve">Determination of the clothoid a-parameter </t>
  </si>
  <si>
    <t>1. Warunek dynamiki</t>
  </si>
  <si>
    <t>1. Dynamics condition</t>
  </si>
  <si>
    <t>k=</t>
  </si>
  <si>
    <t>2. Warunek estetyki</t>
  </si>
  <si>
    <t xml:space="preserve">2. Aesthetics condition </t>
  </si>
  <si>
    <t>3. Warunek konstrukcji rampy drogowej</t>
  </si>
  <si>
    <t xml:space="preserve">3. Construction of a road ramp condition </t>
  </si>
  <si>
    <t>Design speed (km/h)</t>
  </si>
  <si>
    <t>a - distance of the edge from the axis of rotation</t>
  </si>
  <si>
    <t>4. Warunek poszerzenia jezdni</t>
  </si>
  <si>
    <t xml:space="preserve">4. Widening of the roadway condition </t>
  </si>
  <si>
    <r>
      <t>p</t>
    </r>
    <r>
      <rPr>
        <vertAlign val="subscript"/>
        <sz val="11"/>
        <color theme="1"/>
        <rFont val="Calibri"/>
        <family val="2"/>
        <charset val="238"/>
        <scheme val="minor"/>
      </rPr>
      <t>c</t>
    </r>
  </si>
  <si>
    <t>5. Warunek geometryczny</t>
  </si>
  <si>
    <t xml:space="preserve">5. Geometric condition </t>
  </si>
  <si>
    <t>γ=</t>
  </si>
  <si>
    <t>6. Warunek na osunięcie łuku kołowego</t>
  </si>
  <si>
    <t>6. Horizontal curve offset condition</t>
  </si>
  <si>
    <t>7. Warunek proporcjonalności</t>
  </si>
  <si>
    <t>7. Proportionality condition</t>
  </si>
  <si>
    <t>KLOTOIDA / KLOTOID</t>
  </si>
  <si>
    <t>Maximum increase in centripetal acceleration acting on the vehicle on the transition curve</t>
  </si>
  <si>
    <r>
      <t>Maximum increase in centripetal acceleration acting on the vehicle on the transition curve [m/s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]</t>
    </r>
  </si>
  <si>
    <t>Additional slope of the road edge (%)</t>
  </si>
  <si>
    <t>minimal on a section with a transverse slope</t>
  </si>
  <si>
    <t xml:space="preserve"> smaller than on a straight section</t>
  </si>
  <si>
    <t>maximal</t>
  </si>
  <si>
    <r>
      <t>m/s</t>
    </r>
    <r>
      <rPr>
        <b/>
        <vertAlign val="superscript"/>
        <sz val="11"/>
        <color rgb="FF7030A0"/>
        <rFont val="Calibri"/>
        <family val="2"/>
        <charset val="238"/>
        <scheme val="minor"/>
      </rPr>
      <t>3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</si>
  <si>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</si>
  <si>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</si>
  <si>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0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</si>
  <si>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n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</si>
  <si>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dmin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</si>
  <si>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dmax</t>
    </r>
  </si>
  <si>
    <r>
      <t>i</t>
    </r>
    <r>
      <rPr>
        <b/>
        <vertAlign val="subscript"/>
        <sz val="11"/>
        <color rgb="FF7030A0"/>
        <rFont val="Calibri"/>
        <family val="2"/>
        <charset val="238"/>
        <scheme val="minor"/>
      </rPr>
      <t>d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</si>
  <si>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</si>
  <si>
    <t>tabela / table</t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</si>
  <si>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</si>
  <si>
    <t>Widening on the horizontal curve</t>
  </si>
  <si>
    <t>Poszerzenie na łuku poziomym</t>
  </si>
  <si>
    <t>Formulas for calculating the amount of lane widening for typical size vehicles</t>
  </si>
  <si>
    <t>typical size vehicle</t>
  </si>
  <si>
    <t>type</t>
  </si>
  <si>
    <t>passenger vehicle</t>
  </si>
  <si>
    <t>municipal vehicle</t>
  </si>
  <si>
    <t>two-axle bus</t>
  </si>
  <si>
    <t>three-axle bus</t>
  </si>
  <si>
    <t>truck with trailer</t>
  </si>
  <si>
    <r>
      <rPr>
        <vertAlign val="superscript"/>
        <sz val="11"/>
        <color theme="1"/>
        <rFont val="Calibri"/>
        <family val="2"/>
        <charset val="238"/>
        <scheme val="minor"/>
      </rPr>
      <t>*</t>
    </r>
    <r>
      <rPr>
        <sz val="11"/>
        <color theme="1"/>
        <rFont val="Calibri"/>
        <family val="2"/>
        <charset val="238"/>
        <scheme val="minor"/>
      </rPr>
      <t xml:space="preserve"> in individual analyses for vehicles with an extended rear axle, the calculation assumes the position of the rear axle halfway between the extreme real rear axles</t>
    </r>
  </si>
  <si>
    <t>symbol</t>
  </si>
  <si>
    <t>D value [m]</t>
  </si>
  <si>
    <t>Formula for calculating the amount of line widening p [m]</t>
  </si>
  <si>
    <t>p =</t>
  </si>
  <si>
    <t>wartość dla symbolu / value for symbol</t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</si>
  <si>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1)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</si>
  <si>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2)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</si>
  <si>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3)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</si>
  <si>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4)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</si>
  <si>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6)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</si>
  <si>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 xml:space="preserve"> 7)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</si>
  <si>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2)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</si>
  <si>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5)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</si>
  <si>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6)</t>
    </r>
  </si>
  <si>
    <r>
      <t>a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 xml:space="preserve"> 7)</t>
    </r>
  </si>
  <si>
    <r>
      <t>a</t>
    </r>
    <r>
      <rPr>
        <b/>
        <vertAlign val="subscript"/>
        <sz val="11"/>
        <color rgb="FFFF0000"/>
        <rFont val="Calibri"/>
        <family val="2"/>
        <charset val="238"/>
        <scheme val="minor"/>
      </rPr>
      <t>min</t>
    </r>
  </si>
  <si>
    <r>
      <t>a</t>
    </r>
    <r>
      <rPr>
        <b/>
        <vertAlign val="subscript"/>
        <sz val="11"/>
        <color rgb="FFFF0000"/>
        <rFont val="Calibri"/>
        <family val="2"/>
        <charset val="238"/>
        <scheme val="minor"/>
      </rPr>
      <t>max</t>
    </r>
  </si>
  <si>
    <t>α =</t>
  </si>
  <si>
    <t>example</t>
  </si>
  <si>
    <t>V</t>
  </si>
  <si>
    <t>2h=</t>
  </si>
  <si>
    <t>Lz=</t>
  </si>
  <si>
    <t>3)</t>
  </si>
  <si>
    <t>2)</t>
  </si>
  <si>
    <t>2ψ =</t>
  </si>
  <si>
    <t>ψ=</t>
  </si>
  <si>
    <t>1)</t>
  </si>
  <si>
    <t>a=</t>
  </si>
  <si>
    <t>α=</t>
  </si>
  <si>
    <t>mean slope of the grade line for the bend</t>
  </si>
  <si>
    <r>
      <rPr>
        <sz val="11"/>
        <color theme="1"/>
        <rFont val="Calibri"/>
        <family val="2"/>
        <charset val="238"/>
        <scheme val="minor"/>
      </rPr>
      <t>i</t>
    </r>
    <r>
      <rPr>
        <vertAlign val="subscript"/>
        <sz val="11"/>
        <color theme="1"/>
        <rFont val="Calibri"/>
        <family val="2"/>
        <charset val="238"/>
        <scheme val="minor"/>
      </rPr>
      <t>śr</t>
    </r>
    <r>
      <rPr>
        <sz val="11"/>
        <color theme="1"/>
        <rFont val="Calibri"/>
        <family val="2"/>
        <charset val="238"/>
        <scheme val="minor"/>
      </rPr>
      <t>=</t>
    </r>
  </si>
  <si>
    <t>i after=</t>
  </si>
  <si>
    <t>i before=</t>
  </si>
  <si>
    <t>f=</t>
  </si>
  <si>
    <t>φ=</t>
  </si>
  <si>
    <r>
      <t>m/s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</si>
  <si>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g=</t>
  </si>
  <si>
    <t>s</t>
  </si>
  <si>
    <t>t=</t>
  </si>
  <si>
    <t>speed (km/h)</t>
  </si>
  <si>
    <t>shortest distance of visibility to stop (m) on the slope</t>
  </si>
  <si>
    <t>sprawdź z tabelą / verify from table</t>
  </si>
  <si>
    <r>
      <t>a/</t>
    </r>
    <r>
      <rPr>
        <sz val="11"/>
        <color rgb="FF00B050"/>
        <rFont val="Calibri"/>
        <family val="2"/>
        <charset val="238"/>
      </rPr>
      <t>α</t>
    </r>
  </si>
  <si>
    <r>
      <t>2a/</t>
    </r>
    <r>
      <rPr>
        <sz val="11"/>
        <color rgb="FF00B050"/>
        <rFont val="Calibri"/>
        <family val="2"/>
        <charset val="238"/>
      </rPr>
      <t>α</t>
    </r>
  </si>
  <si>
    <r>
      <t>R</t>
    </r>
    <r>
      <rPr>
        <b/>
        <vertAlign val="subscript"/>
        <sz val="11"/>
        <color rgb="FFFF0000"/>
        <rFont val="Calibri"/>
        <family val="2"/>
        <charset val="238"/>
        <scheme val="minor"/>
      </rPr>
      <t>min</t>
    </r>
    <r>
      <rPr>
        <b/>
        <sz val="11"/>
        <color rgb="FFFF0000"/>
        <rFont val="Calibri"/>
        <family val="2"/>
        <charset val="238"/>
        <scheme val="minor"/>
      </rPr>
      <t>=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</si>
  <si>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dp</t>
    </r>
  </si>
  <si>
    <r>
      <t>dodatkowo/additinal V</t>
    </r>
    <r>
      <rPr>
        <vertAlign val="subscript"/>
        <sz val="11"/>
        <color theme="1"/>
        <rFont val="Calibri"/>
        <family val="2"/>
        <charset val="238"/>
        <scheme val="minor"/>
      </rPr>
      <t>dp</t>
    </r>
  </si>
  <si>
    <t>przykład</t>
  </si>
  <si>
    <t xml:space="preserve">Minimalny promień ŁUKU WYPUKŁEGO ze względu na widoczność </t>
  </si>
  <si>
    <t>Minimum radius due to the visibility for the CREST CURVE</t>
  </si>
  <si>
    <t>Minimum radius due to the visibility for the SAG CURVE</t>
  </si>
  <si>
    <t xml:space="preserve">Minimalny promień ŁUKU WKLĘSŁEGO ze względu na widoczność </t>
  </si>
  <si>
    <r>
      <t>h/α-</t>
    </r>
    <r>
      <rPr>
        <sz val="11"/>
        <color rgb="FF00B050"/>
        <rFont val="Calibri"/>
        <family val="2"/>
        <charset val="238"/>
      </rPr>
      <t>ψ  =</t>
    </r>
  </si>
  <si>
    <r>
      <t>2h/α-2</t>
    </r>
    <r>
      <rPr>
        <sz val="11"/>
        <color rgb="FF00B050"/>
        <rFont val="Calibri"/>
        <family val="2"/>
        <charset val="238"/>
      </rPr>
      <t>ψ  =</t>
    </r>
  </si>
  <si>
    <t>Minimum radius due to the dynamics</t>
  </si>
  <si>
    <t>Minimalny promień ze względu na dynamikę</t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</si>
  <si>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 xml:space="preserve">dp </t>
    </r>
    <r>
      <rPr>
        <b/>
        <sz val="11"/>
        <color theme="1"/>
        <rFont val="Calibri"/>
        <family val="2"/>
        <charset val="238"/>
        <scheme val="minor"/>
      </rPr>
      <t>= V</t>
    </r>
    <r>
      <rPr>
        <b/>
        <vertAlign val="subscript"/>
        <sz val="11"/>
        <color theme="1"/>
        <rFont val="Calibri"/>
        <family val="2"/>
        <charset val="238"/>
        <scheme val="minor"/>
      </rPr>
      <t xml:space="preserve">p </t>
    </r>
    <r>
      <rPr>
        <b/>
        <sz val="11"/>
        <color theme="1"/>
        <rFont val="Calibri"/>
        <family val="2"/>
        <charset val="238"/>
        <scheme val="minor"/>
      </rPr>
      <t/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</si>
  <si>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m</t>
    </r>
    <r>
      <rPr>
        <b/>
        <sz val="11"/>
        <color theme="1"/>
        <rFont val="Calibri"/>
        <family val="2"/>
        <charset val="238"/>
        <scheme val="minor"/>
      </rPr>
      <t xml:space="preserve"> = V</t>
    </r>
    <r>
      <rPr>
        <b/>
        <vertAlign val="subscript"/>
        <sz val="11"/>
        <color theme="1"/>
        <rFont val="Calibri"/>
        <family val="2"/>
        <charset val="238"/>
        <scheme val="minor"/>
      </rPr>
      <t>dp</t>
    </r>
    <r>
      <rPr>
        <b/>
        <sz val="11"/>
        <color theme="1"/>
        <rFont val="Calibri"/>
        <family val="2"/>
        <charset val="238"/>
        <scheme val="minor"/>
      </rPr>
      <t xml:space="preserve"> + 20 km/h</t>
    </r>
  </si>
  <si>
    <t>Minimum radius due to the aesthetics</t>
  </si>
  <si>
    <t>Minimalny promień ze względu na estetykę</t>
  </si>
  <si>
    <t>Minimum radius due to standards</t>
  </si>
  <si>
    <t>przyjęte \ accepted</t>
  </si>
  <si>
    <t>a</t>
  </si>
  <si>
    <t>Proporcje krzywych \ Curve proportions</t>
  </si>
  <si>
    <t>R=</t>
  </si>
  <si>
    <t>L=</t>
  </si>
  <si>
    <t>długość klotoidy / length of clothoid</t>
  </si>
  <si>
    <t>dla</t>
  </si>
  <si>
    <t>promień łuku kołowego / radius of horizontal curve</t>
  </si>
  <si>
    <t>angle of the tangent at the end of the transition curve</t>
  </si>
  <si>
    <t>τ - angle of the tangent at the end of the transition curve [rad]</t>
  </si>
  <si>
    <t>τ =</t>
  </si>
  <si>
    <r>
      <rPr>
        <sz val="11"/>
        <color theme="1"/>
        <rFont val="Calibri"/>
        <family val="2"/>
        <charset val="238"/>
      </rPr>
      <t xml:space="preserve">γ - </t>
    </r>
    <r>
      <rPr>
        <sz val="11"/>
        <color theme="1"/>
        <rFont val="Calibri"/>
        <family val="2"/>
        <charset val="238"/>
        <scheme val="minor"/>
      </rPr>
      <t>deflection angle [rad]</t>
    </r>
  </si>
  <si>
    <t>central angle of the reduced horizontal curve</t>
  </si>
  <si>
    <t>α - central angle of the reduced horizontal curve</t>
  </si>
  <si>
    <t>γ =</t>
  </si>
  <si>
    <t>Ł - radius of the reduced horizontal curve [m]</t>
  </si>
  <si>
    <t>radius of the reduced horizontal curve</t>
  </si>
  <si>
    <t>Ł=</t>
  </si>
  <si>
    <t>(powinna być to wartość całkowita / it should be an integer value)</t>
  </si>
  <si>
    <t>L:Ł=1:1</t>
  </si>
  <si>
    <t>L:Ł=1:2</t>
  </si>
  <si>
    <r>
      <t>Ł</t>
    </r>
    <r>
      <rPr>
        <b/>
        <vertAlign val="subscript"/>
        <sz val="11"/>
        <color rgb="FF00B050"/>
        <rFont val="Calibri"/>
        <family val="2"/>
        <charset val="238"/>
        <scheme val="minor"/>
      </rPr>
      <t>min</t>
    </r>
    <r>
      <rPr>
        <b/>
        <sz val="11"/>
        <color rgb="FF00B050"/>
        <rFont val="Calibri"/>
        <family val="2"/>
        <charset val="238"/>
        <scheme val="minor"/>
      </rPr>
      <t>=</t>
    </r>
  </si>
  <si>
    <r>
      <t>Ł</t>
    </r>
    <r>
      <rPr>
        <b/>
        <vertAlign val="subscript"/>
        <sz val="11"/>
        <color rgb="FF00B050"/>
        <rFont val="Calibri"/>
        <family val="2"/>
        <charset val="238"/>
        <scheme val="minor"/>
      </rPr>
      <t>max</t>
    </r>
    <r>
      <rPr>
        <b/>
        <sz val="11"/>
        <color rgb="FF00B050"/>
        <rFont val="Calibri"/>
        <family val="2"/>
        <charset val="238"/>
        <scheme val="minor"/>
      </rPr>
      <t>=</t>
    </r>
  </si>
  <si>
    <t>1. W wypadku dróg klasy G i dróg wyższych klas wprowadza się prędkość miarodajną, określaną w następujący sposób:</t>
  </si>
  <si>
    <t>1) na dwujezdniowej drodze poza terenem zabudowy: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</si>
  <si>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+ 10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≤100 km/h,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</si>
  <si>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+ 20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 80 km/h,</t>
    </r>
  </si>
  <si>
    <t>gdzie: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</si>
  <si>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- prędkość miarodajna (km/h),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</si>
  <si>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- prędkość projektowa (km/h);</t>
    </r>
  </si>
  <si>
    <t>2) na dwupasowej drodze dwukierunkowej poza terenem zabudowy zgodnie z tabelą, z zastrzeżeniem ust. 2:</t>
  </si>
  <si>
    <t>2a) na drodze o przekroju 2+1: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</si>
  <si>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+ 20 km/h przy V</t>
    </r>
    <r>
      <rPr>
        <vertAlign val="subscript"/>
        <sz val="11"/>
        <color theme="1"/>
        <rFont val="Calibri"/>
        <family val="2"/>
        <charset val="238"/>
        <scheme val="minor"/>
      </rPr>
      <t>p</t>
    </r>
    <r>
      <rPr>
        <sz val="11"/>
        <color theme="1"/>
        <rFont val="Calibri"/>
        <family val="2"/>
        <charset val="238"/>
        <scheme val="minor"/>
      </rPr>
      <t xml:space="preserve"> ≤ 11080 km/h,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</si>
  <si>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- prędkość miarodajna (km/h), ,</t>
    </r>
  </si>
  <si>
    <t>3) na drodze na terenie zabudowy, z zastrzeżeniem ust. 2: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</si>
  <si>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>+ 20 km/h, jeżeli jezdnia nie jest ograniczona krawężnikami,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</si>
  <si>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m</t>
    </r>
    <r>
      <rPr>
        <sz val="11"/>
        <color theme="1"/>
        <rFont val="Calibri"/>
        <family val="2"/>
        <charset val="238"/>
        <scheme val="minor"/>
      </rPr>
      <t xml:space="preserve"> = 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 xml:space="preserve"> + 10 km/h, jeżeli jezdnia jest ograniczona z jednej lub z obu stron krawężnikami,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</si>
  <si>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o</t>
    </r>
    <r>
      <rPr>
        <sz val="11"/>
        <color theme="1"/>
        <rFont val="Calibri"/>
        <family val="2"/>
        <charset val="238"/>
        <scheme val="minor"/>
      </rPr>
      <t xml:space="preserve"> - największa dopuszczalna prędkość samochodów osobowych na drodze, ograniczona znakiem lub dopuszczona przepisami (km/h).</t>
    </r>
  </si>
  <si>
    <t>2. Prędkość miarodajna powinna być co najmniej równa prędkości projektowej drogi i nie większa od niej o więcej niż 20 km/h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</si>
  <si>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 xml:space="preserve">m </t>
    </r>
    <r>
      <rPr>
        <sz val="11"/>
        <color theme="1"/>
        <rFont val="Calibri"/>
        <family val="2"/>
        <charset val="238"/>
        <scheme val="minor"/>
      </rPr>
      <t>=</t>
    </r>
  </si>
  <si>
    <t>two-side slop of the trafficway   =&gt;   -</t>
  </si>
  <si>
    <t>one-side slop of the trafficway   =&gt;   +</t>
  </si>
  <si>
    <t>facultative</t>
  </si>
  <si>
    <t>section without lighting</t>
  </si>
  <si>
    <t>section with lighting</t>
  </si>
  <si>
    <t>radius of a sag curve [m]</t>
  </si>
  <si>
    <t>radius of a crest curve [m]</t>
  </si>
  <si>
    <r>
      <t>speed V</t>
    </r>
    <r>
      <rPr>
        <b/>
        <vertAlign val="subscript"/>
        <sz val="11"/>
        <color theme="1"/>
        <rFont val="Calibri"/>
        <family val="2"/>
        <charset val="238"/>
        <scheme val="minor"/>
      </rPr>
      <t>dp</t>
    </r>
    <r>
      <rPr>
        <b/>
        <sz val="11"/>
        <color theme="1"/>
        <rFont val="Calibri"/>
        <family val="2"/>
        <charset val="238"/>
        <scheme val="minor"/>
      </rPr>
      <t xml:space="preserve"> [km/h]</t>
    </r>
  </si>
  <si>
    <t>Minimum radius of crest and sag curves</t>
  </si>
  <si>
    <t>Minimalny promień na podstawie wymagań (WRD-22.2)</t>
  </si>
  <si>
    <t>WRD-22.2</t>
  </si>
  <si>
    <t>Maximum permissible road slope</t>
  </si>
  <si>
    <t>Maximum permissible road slope [%]</t>
  </si>
  <si>
    <t>standard</t>
  </si>
  <si>
    <t>permissible in difficult conditions for a section not longer than 500 m</t>
  </si>
  <si>
    <t xml:space="preserve">permissible in difficult conditions </t>
  </si>
  <si>
    <t>Maximum recommended lengths of road profile sections with steep gradients</t>
  </si>
  <si>
    <t>Longitudinal gradient</t>
  </si>
  <si>
    <t>Maximum recommended lengths of road profile sections with permissible gradient</t>
  </si>
  <si>
    <t>Minimum recommended distances between road profile break points</t>
  </si>
  <si>
    <t>Minimum recommended distances between road profile break points [m]</t>
  </si>
  <si>
    <r>
      <t xml:space="preserve"> V</t>
    </r>
    <r>
      <rPr>
        <vertAlign val="subscript"/>
        <sz val="11"/>
        <color theme="1"/>
        <rFont val="Calibri"/>
        <family val="2"/>
        <charset val="238"/>
        <scheme val="minor"/>
      </rPr>
      <t>dp</t>
    </r>
    <r>
      <rPr>
        <sz val="11"/>
        <color theme="1"/>
        <rFont val="Calibri"/>
        <family val="2"/>
        <charset val="238"/>
        <scheme val="minor"/>
      </rPr>
      <t xml:space="preserve"> [km/h]</t>
    </r>
  </si>
  <si>
    <r>
      <t>Minimum required stopping visibility distance L</t>
    </r>
    <r>
      <rPr>
        <b/>
        <vertAlign val="subscript"/>
        <sz val="11"/>
        <color rgb="FF00B050"/>
        <rFont val="Calibri"/>
        <family val="2"/>
        <charset val="238"/>
        <scheme val="minor"/>
      </rPr>
      <t xml:space="preserve">z </t>
    </r>
    <r>
      <rPr>
        <b/>
        <sz val="11"/>
        <color rgb="FF00B050"/>
        <rFont val="Calibri"/>
        <family val="2"/>
        <charset val="238"/>
        <scheme val="minor"/>
      </rPr>
      <t>[m]</t>
    </r>
  </si>
  <si>
    <r>
      <t>Average longitudinal slope i</t>
    </r>
    <r>
      <rPr>
        <vertAlign val="subscript"/>
        <sz val="11"/>
        <color theme="1"/>
        <rFont val="Calibri"/>
        <family val="2"/>
        <charset val="238"/>
        <scheme val="minor"/>
      </rPr>
      <t>0</t>
    </r>
    <r>
      <rPr>
        <sz val="11"/>
        <color theme="1"/>
        <rFont val="Calibri"/>
        <family val="2"/>
        <charset val="238"/>
        <scheme val="minor"/>
      </rPr>
      <t xml:space="preserve"> [%]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</si>
</sst>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0"/>
    <numFmt numFmtId="166" formatCode="0.0"/>
    <numFmt numFmtId="167" formatCode="0.00000"/>
  </numFmts>
  <fonts count="3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vertAlign val="subscript"/>
      <sz val="11"/>
      <color rgb="FFFF0000"/>
      <name val="Calibri"/>
      <family val="2"/>
      <charset val="238"/>
    </font>
    <font>
      <b/>
      <vertAlign val="subscript"/>
      <sz val="11"/>
      <color rgb="FF7030A0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5" tint="-0.249977111117893"/>
      <name val="Calibri"/>
      <family val="2"/>
      <charset val="238"/>
      <scheme val="minor"/>
    </font>
    <font>
      <b/>
      <vertAlign val="subscript"/>
      <sz val="11"/>
      <color theme="5" tint="-0.249977111117893"/>
      <name val="Calibri"/>
      <family val="2"/>
      <charset val="238"/>
      <scheme val="minor"/>
    </font>
    <font>
      <b/>
      <i/>
      <sz val="11"/>
      <color rgb="FF7030A0"/>
      <name val="Calibri"/>
      <family val="2"/>
      <charset val="238"/>
    </font>
    <font>
      <b/>
      <i/>
      <vertAlign val="subscript"/>
      <sz val="11"/>
      <color rgb="FF7030A0"/>
      <name val="Calibri"/>
      <family val="2"/>
      <charset val="238"/>
    </font>
    <font>
      <b/>
      <sz val="11"/>
      <color rgb="FF00B05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vertAlign val="superscript"/>
      <sz val="11"/>
      <color rgb="FF7030A0"/>
      <name val="Calibri"/>
      <family val="2"/>
      <charset val="238"/>
      <scheme val="minor"/>
    </font>
    <font>
      <b/>
      <vertAlign val="subscript"/>
      <sz val="11"/>
      <color rgb="FF00B050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b/>
      <vertAlign val="subscript"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/>
      <right/>
      <top style="thin">
        <color theme="5" tint="-0.24994659260841701"/>
      </top>
      <bottom style="thin">
        <color theme="5" tint="-0.24994659260841701"/>
      </bottom>
      <diagonal/>
    </border>
    <border>
      <left/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quotePrefix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6" fillId="0" borderId="0" xfId="0" applyFont="1" applyAlignment="1">
      <alignment horizontal="right"/>
    </xf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2" fontId="5" fillId="0" borderId="0" xfId="0" applyNumberFormat="1" applyFont="1"/>
    <xf numFmtId="0" fontId="8" fillId="0" borderId="0" xfId="0" applyFont="1"/>
    <xf numFmtId="0" fontId="9" fillId="0" borderId="1" xfId="0" applyFont="1" applyBorder="1"/>
    <xf numFmtId="0" fontId="9" fillId="0" borderId="2" xfId="0" applyFont="1" applyBorder="1" applyAlignment="1">
      <alignment horizontal="right"/>
    </xf>
    <xf numFmtId="0" fontId="9" fillId="0" borderId="2" xfId="0" applyFont="1" applyBorder="1"/>
    <xf numFmtId="0" fontId="9" fillId="0" borderId="2" xfId="0" quotePrefix="1" applyFont="1" applyBorder="1"/>
    <xf numFmtId="2" fontId="9" fillId="0" borderId="2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0" xfId="0" quotePrefix="1" applyFont="1" applyBorder="1"/>
    <xf numFmtId="2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8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quotePrefix="1" applyFont="1" applyBorder="1"/>
    <xf numFmtId="2" fontId="10" fillId="0" borderId="0" xfId="0" applyNumberFormat="1" applyFont="1" applyBorder="1"/>
    <xf numFmtId="2" fontId="8" fillId="0" borderId="0" xfId="0" applyNumberFormat="1" applyFont="1" applyBorder="1"/>
    <xf numFmtId="0" fontId="8" fillId="0" borderId="0" xfId="0" applyFont="1" applyAlignment="1">
      <alignment horizontal="right"/>
    </xf>
    <xf numFmtId="165" fontId="8" fillId="0" borderId="0" xfId="0" applyNumberFormat="1" applyFont="1"/>
    <xf numFmtId="0" fontId="11" fillId="0" borderId="0" xfId="0" applyFont="1"/>
    <xf numFmtId="0" fontId="12" fillId="0" borderId="1" xfId="0" applyFont="1" applyBorder="1"/>
    <xf numFmtId="165" fontId="9" fillId="0" borderId="2" xfId="0" applyNumberFormat="1" applyFont="1" applyBorder="1"/>
    <xf numFmtId="0" fontId="12" fillId="0" borderId="3" xfId="0" applyFont="1" applyBorder="1"/>
    <xf numFmtId="1" fontId="9" fillId="0" borderId="2" xfId="0" applyNumberFormat="1" applyFont="1" applyBorder="1"/>
    <xf numFmtId="0" fontId="11" fillId="0" borderId="4" xfId="0" applyFont="1" applyBorder="1"/>
    <xf numFmtId="0" fontId="11" fillId="0" borderId="5" xfId="0" applyFont="1" applyBorder="1" applyAlignment="1">
      <alignment horizontal="right"/>
    </xf>
    <xf numFmtId="0" fontId="11" fillId="0" borderId="5" xfId="0" applyFont="1" applyBorder="1"/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quotePrefix="1" applyFont="1" applyBorder="1"/>
    <xf numFmtId="2" fontId="11" fillId="0" borderId="5" xfId="0" applyNumberFormat="1" applyFont="1" applyBorder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5" fillId="0" borderId="0" xfId="0" applyFont="1"/>
    <xf numFmtId="0" fontId="16" fillId="0" borderId="4" xfId="0" applyFont="1" applyBorder="1"/>
    <xf numFmtId="167" fontId="11" fillId="0" borderId="5" xfId="0" applyNumberFormat="1" applyFont="1" applyBorder="1"/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quotePrefix="1" applyFont="1" applyBorder="1"/>
    <xf numFmtId="167" fontId="11" fillId="0" borderId="0" xfId="0" applyNumberFormat="1" applyFont="1" applyBorder="1"/>
    <xf numFmtId="0" fontId="17" fillId="0" borderId="7" xfId="0" applyFont="1" applyBorder="1"/>
    <xf numFmtId="0" fontId="10" fillId="0" borderId="8" xfId="0" applyFont="1" applyBorder="1" applyAlignment="1">
      <alignment horizontal="right"/>
    </xf>
    <xf numFmtId="0" fontId="10" fillId="0" borderId="8" xfId="0" applyFont="1" applyBorder="1"/>
    <xf numFmtId="0" fontId="10" fillId="0" borderId="8" xfId="0" quotePrefix="1" applyFont="1" applyBorder="1"/>
    <xf numFmtId="167" fontId="10" fillId="0" borderId="8" xfId="0" applyNumberFormat="1" applyFont="1" applyBorder="1"/>
    <xf numFmtId="0" fontId="10" fillId="0" borderId="9" xfId="0" applyFont="1" applyBorder="1" applyAlignment="1">
      <alignment horizontal="center"/>
    </xf>
    <xf numFmtId="0" fontId="18" fillId="0" borderId="10" xfId="0" applyFont="1" applyBorder="1"/>
    <xf numFmtId="0" fontId="18" fillId="0" borderId="11" xfId="0" applyFont="1" applyBorder="1" applyAlignment="1">
      <alignment horizontal="right"/>
    </xf>
    <xf numFmtId="0" fontId="18" fillId="0" borderId="11" xfId="0" applyFont="1" applyBorder="1"/>
    <xf numFmtId="2" fontId="18" fillId="0" borderId="11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10" xfId="0" applyFont="1" applyFill="1" applyBorder="1"/>
    <xf numFmtId="0" fontId="18" fillId="0" borderId="11" xfId="0" applyFont="1" applyFill="1" applyBorder="1" applyAlignment="1">
      <alignment horizontal="right"/>
    </xf>
    <xf numFmtId="0" fontId="18" fillId="0" borderId="11" xfId="0" applyFont="1" applyFill="1" applyBorder="1"/>
    <xf numFmtId="2" fontId="18" fillId="0" borderId="11" xfId="0" applyNumberFormat="1" applyFont="1" applyFill="1" applyBorder="1"/>
    <xf numFmtId="0" fontId="18" fillId="0" borderId="12" xfId="0" applyFont="1" applyFill="1" applyBorder="1" applyAlignment="1">
      <alignment horizontal="center"/>
    </xf>
    <xf numFmtId="2" fontId="17" fillId="0" borderId="13" xfId="0" applyNumberFormat="1" applyFont="1" applyBorder="1"/>
    <xf numFmtId="2" fontId="10" fillId="0" borderId="14" xfId="0" applyNumberFormat="1" applyFont="1" applyBorder="1" applyAlignment="1">
      <alignment horizontal="right"/>
    </xf>
    <xf numFmtId="2" fontId="10" fillId="0" borderId="14" xfId="0" applyNumberFormat="1" applyFont="1" applyBorder="1"/>
    <xf numFmtId="2" fontId="10" fillId="0" borderId="15" xfId="0" applyNumberFormat="1" applyFont="1" applyBorder="1" applyAlignment="1">
      <alignment horizontal="center"/>
    </xf>
    <xf numFmtId="0" fontId="11" fillId="0" borderId="6" xfId="0" applyFont="1" applyBorder="1"/>
    <xf numFmtId="0" fontId="20" fillId="0" borderId="4" xfId="0" applyFont="1" applyBorder="1"/>
    <xf numFmtId="0" fontId="0" fillId="0" borderId="6" xfId="0" applyBorder="1"/>
    <xf numFmtId="0" fontId="22" fillId="0" borderId="0" xfId="0" applyFont="1" applyAlignment="1">
      <alignment horizontal="right"/>
    </xf>
    <xf numFmtId="0" fontId="22" fillId="0" borderId="0" xfId="0" applyFont="1"/>
    <xf numFmtId="166" fontId="22" fillId="0" borderId="0" xfId="0" applyNumberFormat="1" applyFont="1"/>
    <xf numFmtId="0" fontId="22" fillId="0" borderId="16" xfId="0" applyFont="1" applyBorder="1" applyAlignment="1">
      <alignment horizontal="right"/>
    </xf>
    <xf numFmtId="0" fontId="22" fillId="0" borderId="17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2" fontId="22" fillId="0" borderId="19" xfId="0" applyNumberFormat="1" applyFont="1" applyBorder="1"/>
    <xf numFmtId="0" fontId="22" fillId="0" borderId="20" xfId="0" applyFont="1" applyBorder="1"/>
    <xf numFmtId="2" fontId="22" fillId="0" borderId="20" xfId="0" applyNumberFormat="1" applyFont="1" applyBorder="1"/>
    <xf numFmtId="0" fontId="22" fillId="0" borderId="21" xfId="0" applyFont="1" applyBorder="1"/>
    <xf numFmtId="0" fontId="22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22" fillId="0" borderId="22" xfId="0" applyFont="1" applyBorder="1"/>
    <xf numFmtId="0" fontId="22" fillId="0" borderId="23" xfId="0" applyFont="1" applyBorder="1"/>
    <xf numFmtId="166" fontId="22" fillId="0" borderId="24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23" fillId="0" borderId="0" xfId="0" applyFont="1"/>
    <xf numFmtId="2" fontId="6" fillId="0" borderId="0" xfId="0" applyNumberFormat="1" applyFont="1"/>
    <xf numFmtId="2" fontId="22" fillId="0" borderId="23" xfId="0" applyNumberFormat="1" applyFont="1" applyBorder="1"/>
    <xf numFmtId="0" fontId="22" fillId="0" borderId="24" xfId="0" applyFont="1" applyBorder="1"/>
    <xf numFmtId="2" fontId="11" fillId="0" borderId="0" xfId="0" applyNumberFormat="1" applyFont="1" applyBorder="1"/>
    <xf numFmtId="166" fontId="11" fillId="0" borderId="5" xfId="0" applyNumberFormat="1" applyFont="1" applyBorder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/>
    <xf numFmtId="2" fontId="22" fillId="0" borderId="22" xfId="0" applyNumberFormat="1" applyFont="1" applyBorder="1"/>
    <xf numFmtId="2" fontId="22" fillId="0" borderId="24" xfId="0" applyNumberFormat="1" applyFont="1" applyBorder="1"/>
    <xf numFmtId="2" fontId="22" fillId="0" borderId="23" xfId="0" quotePrefix="1" applyNumberFormat="1" applyFont="1" applyBorder="1"/>
    <xf numFmtId="0" fontId="22" fillId="0" borderId="23" xfId="0" quotePrefix="1" applyFont="1" applyBorder="1"/>
    <xf numFmtId="0" fontId="22" fillId="0" borderId="22" xfId="0" applyNumberFormat="1" applyFont="1" applyBorder="1"/>
    <xf numFmtId="0" fontId="22" fillId="0" borderId="23" xfId="0" applyNumberFormat="1" applyFont="1" applyBorder="1"/>
    <xf numFmtId="0" fontId="22" fillId="0" borderId="24" xfId="0" applyNumberFormat="1" applyFont="1" applyBorder="1"/>
    <xf numFmtId="2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left"/>
    </xf>
    <xf numFmtId="0" fontId="9" fillId="0" borderId="25" xfId="0" applyFont="1" applyBorder="1" applyAlignment="1">
      <alignment horizontal="right"/>
    </xf>
    <xf numFmtId="0" fontId="9" fillId="0" borderId="26" xfId="0" applyFont="1" applyBorder="1" applyAlignment="1">
      <alignment horizontal="right"/>
    </xf>
    <xf numFmtId="0" fontId="2" fillId="0" borderId="27" xfId="0" applyFont="1" applyBorder="1"/>
    <xf numFmtId="2" fontId="9" fillId="0" borderId="28" xfId="0" applyNumberFormat="1" applyFont="1" applyBorder="1" applyAlignment="1">
      <alignment horizontal="right"/>
    </xf>
    <xf numFmtId="0" fontId="9" fillId="0" borderId="29" xfId="0" applyFont="1" applyBorder="1" applyAlignment="1">
      <alignment horizontal="left"/>
    </xf>
    <xf numFmtId="2" fontId="9" fillId="0" borderId="29" xfId="0" applyNumberFormat="1" applyFont="1" applyBorder="1" applyAlignment="1">
      <alignment horizontal="right"/>
    </xf>
    <xf numFmtId="0" fontId="9" fillId="0" borderId="30" xfId="0" applyFont="1" applyBorder="1" applyAlignment="1">
      <alignment horizontal="left"/>
    </xf>
    <xf numFmtId="0" fontId="3" fillId="0" borderId="0" xfId="0" applyFont="1"/>
    <xf numFmtId="0" fontId="28" fillId="0" borderId="0" xfId="0" applyFont="1"/>
    <xf numFmtId="0" fontId="6" fillId="0" borderId="0" xfId="0" applyFont="1" applyBorder="1"/>
    <xf numFmtId="2" fontId="6" fillId="0" borderId="0" xfId="0" applyNumberFormat="1" applyFont="1" applyBorder="1"/>
    <xf numFmtId="0" fontId="0" fillId="0" borderId="23" xfId="0" applyBorder="1"/>
    <xf numFmtId="0" fontId="0" fillId="0" borderId="24" xfId="0" applyBorder="1"/>
    <xf numFmtId="0" fontId="9" fillId="0" borderId="3" xfId="0" applyFont="1" applyBorder="1"/>
    <xf numFmtId="2" fontId="5" fillId="0" borderId="2" xfId="0" applyNumberFormat="1" applyFont="1" applyBorder="1"/>
    <xf numFmtId="0" fontId="5" fillId="0" borderId="3" xfId="0" applyFont="1" applyBorder="1"/>
    <xf numFmtId="166" fontId="6" fillId="0" borderId="0" xfId="0" applyNumberFormat="1" applyFont="1" applyBorder="1"/>
    <xf numFmtId="165" fontId="6" fillId="0" borderId="0" xfId="0" applyNumberFormat="1" applyFont="1"/>
    <xf numFmtId="165" fontId="6" fillId="0" borderId="23" xfId="0" applyNumberFormat="1" applyFont="1" applyBorder="1"/>
    <xf numFmtId="0" fontId="6" fillId="0" borderId="23" xfId="0" applyFont="1" applyBorder="1"/>
    <xf numFmtId="0" fontId="10" fillId="0" borderId="0" xfId="0" applyFont="1"/>
    <xf numFmtId="2" fontId="11" fillId="0" borderId="4" xfId="0" applyNumberFormat="1" applyFont="1" applyBorder="1"/>
    <xf numFmtId="2" fontId="11" fillId="0" borderId="5" xfId="0" quotePrefix="1" applyNumberFormat="1" applyFont="1" applyBorder="1"/>
    <xf numFmtId="2" fontId="11" fillId="0" borderId="6" xfId="0" applyNumberFormat="1" applyFont="1" applyBorder="1"/>
    <xf numFmtId="2" fontId="22" fillId="0" borderId="22" xfId="0" quotePrefix="1" applyNumberFormat="1" applyFont="1" applyFill="1" applyBorder="1"/>
    <xf numFmtId="0" fontId="11" fillId="0" borderId="23" xfId="0" applyFont="1" applyBorder="1"/>
    <xf numFmtId="0" fontId="29" fillId="0" borderId="0" xfId="0" applyFont="1"/>
    <xf numFmtId="167" fontId="8" fillId="0" borderId="0" xfId="0" applyNumberFormat="1" applyFont="1"/>
    <xf numFmtId="2" fontId="22" fillId="0" borderId="0" xfId="0" applyNumberFormat="1" applyFont="1"/>
    <xf numFmtId="0" fontId="22" fillId="0" borderId="0" xfId="0" quotePrefix="1" applyFont="1"/>
    <xf numFmtId="0" fontId="9" fillId="0" borderId="0" xfId="0" applyFont="1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30" fillId="0" borderId="0" xfId="0" applyFont="1" applyAlignment="1">
      <alignment horizontal="left" vertical="center" readingOrder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6.png"/><Relationship Id="rId21" Type="http://schemas.openxmlformats.org/officeDocument/2006/relationships/image" Target="../media/image28.png"/><Relationship Id="rId34" Type="http://schemas.openxmlformats.org/officeDocument/2006/relationships/image" Target="../media/image41.png"/><Relationship Id="rId42" Type="http://schemas.openxmlformats.org/officeDocument/2006/relationships/image" Target="../media/image49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41" Type="http://schemas.openxmlformats.org/officeDocument/2006/relationships/image" Target="../media/image48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40" Type="http://schemas.openxmlformats.org/officeDocument/2006/relationships/image" Target="../media/image47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4" Type="http://schemas.openxmlformats.org/officeDocument/2006/relationships/image" Target="../media/image5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8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14</xdr:row>
      <xdr:rowOff>180975</xdr:rowOff>
    </xdr:from>
    <xdr:ext cx="7478169" cy="1476581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886075"/>
          <a:ext cx="7478169" cy="147658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8</xdr:row>
      <xdr:rowOff>182834</xdr:rowOff>
    </xdr:from>
    <xdr:to>
      <xdr:col>4</xdr:col>
      <xdr:colOff>447675</xdr:colOff>
      <xdr:row>11</xdr:row>
      <xdr:rowOff>0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61EB3AF8-00CB-D07A-B114-C588A479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1" y="1706834"/>
          <a:ext cx="2276474" cy="3886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</xdr:colOff>
      <xdr:row>25</xdr:row>
      <xdr:rowOff>0</xdr:rowOff>
    </xdr:from>
    <xdr:to>
      <xdr:col>6</xdr:col>
      <xdr:colOff>476250</xdr:colOff>
      <xdr:row>37</xdr:row>
      <xdr:rowOff>76200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EFE6DFF7-FF0F-1F2A-E31A-377AADF0E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14900"/>
          <a:ext cx="3590925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28575</xdr:colOff>
      <xdr:row>9</xdr:row>
      <xdr:rowOff>108569</xdr:rowOff>
    </xdr:from>
    <xdr:to>
      <xdr:col>16</xdr:col>
      <xdr:colOff>304800</xdr:colOff>
      <xdr:row>21</xdr:row>
      <xdr:rowOff>168423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D1325A02-6492-7ACE-53A9-2A0F5EE4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823069"/>
          <a:ext cx="2105025" cy="23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50</xdr:row>
      <xdr:rowOff>9525</xdr:rowOff>
    </xdr:from>
    <xdr:to>
      <xdr:col>19</xdr:col>
      <xdr:colOff>285750</xdr:colOff>
      <xdr:row>62</xdr:row>
      <xdr:rowOff>59770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41C0AD9E-0FF9-A6DB-79FF-79A10676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0525" y="9915525"/>
          <a:ext cx="3933825" cy="233624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51</xdr:row>
      <xdr:rowOff>57150</xdr:rowOff>
    </xdr:from>
    <xdr:to>
      <xdr:col>10</xdr:col>
      <xdr:colOff>426796</xdr:colOff>
      <xdr:row>59</xdr:row>
      <xdr:rowOff>171450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732FD129-3789-A546-574D-C18290760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2925" y="10153650"/>
          <a:ext cx="6122746" cy="1638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4774</xdr:colOff>
      <xdr:row>58</xdr:row>
      <xdr:rowOff>165819</xdr:rowOff>
    </xdr:from>
    <xdr:to>
      <xdr:col>6</xdr:col>
      <xdr:colOff>295276</xdr:colOff>
      <xdr:row>62</xdr:row>
      <xdr:rowOff>36795</xdr:rowOff>
    </xdr:to>
    <xdr:pic>
      <xdr:nvPicPr>
        <xdr:cNvPr id="7" name="Picture 3">
          <a:extLst>
            <a:ext uri="{FF2B5EF4-FFF2-40B4-BE49-F238E27FC236}">
              <a16:creationId xmlns="" xmlns:a16="http://schemas.microsoft.com/office/drawing/2014/main" id="{D28B42D2-E61A-D719-A62E-83BB4775E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14374" y="11595819"/>
          <a:ext cx="3433752" cy="6329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103</xdr:row>
      <xdr:rowOff>0</xdr:rowOff>
    </xdr:from>
    <xdr:to>
      <xdr:col>17</xdr:col>
      <xdr:colOff>518175</xdr:colOff>
      <xdr:row>112</xdr:row>
      <xdr:rowOff>57150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24FA0F50-B83A-E2BE-5A6C-2AE9A0DC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3657600"/>
          <a:ext cx="3537600" cy="1962150"/>
        </a:xfrm>
        <a:prstGeom prst="rect">
          <a:avLst/>
        </a:prstGeom>
      </xdr:spPr>
    </xdr:pic>
    <xdr:clientData/>
  </xdr:twoCellAnchor>
  <xdr:twoCellAnchor editAs="oneCell">
    <xdr:from>
      <xdr:col>12</xdr:col>
      <xdr:colOff>34335</xdr:colOff>
      <xdr:row>113</xdr:row>
      <xdr:rowOff>8623</xdr:rowOff>
    </xdr:from>
    <xdr:to>
      <xdr:col>20</xdr:col>
      <xdr:colOff>327303</xdr:colOff>
      <xdr:row>116</xdr:row>
      <xdr:rowOff>108116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B3F97412-6035-7A33-66D9-2AA1194B5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7160" y="5571223"/>
          <a:ext cx="5169768" cy="7471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19049</xdr:rowOff>
    </xdr:from>
    <xdr:to>
      <xdr:col>11</xdr:col>
      <xdr:colOff>83822</xdr:colOff>
      <xdr:row>117</xdr:row>
      <xdr:rowOff>47625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886ECEAC-023B-A7B1-1DA4-A29D57A80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676649"/>
          <a:ext cx="6360797" cy="300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128</xdr:row>
      <xdr:rowOff>19050</xdr:rowOff>
    </xdr:from>
    <xdr:to>
      <xdr:col>10</xdr:col>
      <xdr:colOff>328713</xdr:colOff>
      <xdr:row>141</xdr:row>
      <xdr:rowOff>95250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E797185D-100E-9F1C-68A9-C4624710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439150"/>
          <a:ext cx="6015138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128</xdr:row>
      <xdr:rowOff>9525</xdr:rowOff>
    </xdr:from>
    <xdr:to>
      <xdr:col>19</xdr:col>
      <xdr:colOff>485775</xdr:colOff>
      <xdr:row>144</xdr:row>
      <xdr:rowOff>133350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8A6FDC45-95BA-5AFE-FFE0-830F395B0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3300" y="8429625"/>
          <a:ext cx="4762500" cy="317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144</xdr:row>
      <xdr:rowOff>72319</xdr:rowOff>
    </xdr:from>
    <xdr:to>
      <xdr:col>13</xdr:col>
      <xdr:colOff>438150</xdr:colOff>
      <xdr:row>146</xdr:row>
      <xdr:rowOff>136400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A8913296-34B2-84ED-6489-4E6E58BC2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2066" r="38907"/>
        <a:stretch/>
      </xdr:blipFill>
      <xdr:spPr>
        <a:xfrm>
          <a:off x="7324725" y="11540419"/>
          <a:ext cx="1085850" cy="44508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155</xdr:row>
      <xdr:rowOff>9526</xdr:rowOff>
    </xdr:from>
    <xdr:to>
      <xdr:col>8</xdr:col>
      <xdr:colOff>432032</xdr:colOff>
      <xdr:row>163</xdr:row>
      <xdr:rowOff>152400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F5F892EC-B0A7-B409-A828-90A7A9D6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992226"/>
          <a:ext cx="4899257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600075</xdr:colOff>
      <xdr:row>155</xdr:row>
      <xdr:rowOff>0</xdr:rowOff>
    </xdr:from>
    <xdr:to>
      <xdr:col>17</xdr:col>
      <xdr:colOff>428625</xdr:colOff>
      <xdr:row>165</xdr:row>
      <xdr:rowOff>62738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961BE7DE-2A13-77B9-6DD6-70E6E9B8C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3982700"/>
          <a:ext cx="3486150" cy="1967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165</xdr:row>
      <xdr:rowOff>9524</xdr:rowOff>
    </xdr:from>
    <xdr:to>
      <xdr:col>10</xdr:col>
      <xdr:colOff>75244</xdr:colOff>
      <xdr:row>173</xdr:row>
      <xdr:rowOff>19049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59AA6A1D-4D93-722B-3739-92452432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28650" y="15897224"/>
          <a:ext cx="5752144" cy="1533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9526</xdr:colOff>
      <xdr:row>165</xdr:row>
      <xdr:rowOff>161926</xdr:rowOff>
    </xdr:from>
    <xdr:to>
      <xdr:col>21</xdr:col>
      <xdr:colOff>38926</xdr:colOff>
      <xdr:row>174</xdr:row>
      <xdr:rowOff>76200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1E2ADB9F-67AB-DEA9-05D5-416D0155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72351" y="16049626"/>
          <a:ext cx="5515800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63</xdr:row>
      <xdr:rowOff>9525</xdr:rowOff>
    </xdr:from>
    <xdr:to>
      <xdr:col>5</xdr:col>
      <xdr:colOff>4397</xdr:colOff>
      <xdr:row>66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50" y="1914525"/>
          <a:ext cx="2633297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7</xdr:row>
      <xdr:rowOff>40524</xdr:rowOff>
    </xdr:from>
    <xdr:to>
      <xdr:col>25</xdr:col>
      <xdr:colOff>495301</xdr:colOff>
      <xdr:row>30</xdr:row>
      <xdr:rowOff>55329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91550" y="1374024"/>
          <a:ext cx="7191376" cy="44534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7</xdr:row>
      <xdr:rowOff>95250</xdr:rowOff>
    </xdr:from>
    <xdr:to>
      <xdr:col>10</xdr:col>
      <xdr:colOff>314326</xdr:colOff>
      <xdr:row>27</xdr:row>
      <xdr:rowOff>167023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6" y="1428750"/>
          <a:ext cx="6000750" cy="3881773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57</xdr:row>
      <xdr:rowOff>185849</xdr:rowOff>
    </xdr:from>
    <xdr:to>
      <xdr:col>7</xdr:col>
      <xdr:colOff>485775</xdr:colOff>
      <xdr:row>61</xdr:row>
      <xdr:rowOff>82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67075" y="11168174"/>
          <a:ext cx="1533525" cy="5762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76</xdr:row>
      <xdr:rowOff>3170</xdr:rowOff>
    </xdr:from>
    <xdr:to>
      <xdr:col>12</xdr:col>
      <xdr:colOff>171450</xdr:colOff>
      <xdr:row>82</xdr:row>
      <xdr:rowOff>143217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9601" y="14681195"/>
          <a:ext cx="7086599" cy="1283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181</xdr:row>
      <xdr:rowOff>180975</xdr:rowOff>
    </xdr:from>
    <xdr:to>
      <xdr:col>4</xdr:col>
      <xdr:colOff>299353</xdr:colOff>
      <xdr:row>188</xdr:row>
      <xdr:rowOff>47880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0" y="35356800"/>
          <a:ext cx="2375803" cy="120040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12</xdr:col>
      <xdr:colOff>171451</xdr:colOff>
      <xdr:row>182</xdr:row>
      <xdr:rowOff>85725</xdr:rowOff>
    </xdr:from>
    <xdr:to>
      <xdr:col>15</xdr:col>
      <xdr:colOff>456452</xdr:colOff>
      <xdr:row>188</xdr:row>
      <xdr:rowOff>28822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34276" y="35452050"/>
          <a:ext cx="2113801" cy="108609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581025</xdr:colOff>
      <xdr:row>216</xdr:row>
      <xdr:rowOff>163652</xdr:rowOff>
    </xdr:from>
    <xdr:to>
      <xdr:col>11</xdr:col>
      <xdr:colOff>371475</xdr:colOff>
      <xdr:row>221</xdr:row>
      <xdr:rowOff>133551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1025" y="40482977"/>
          <a:ext cx="6705600" cy="9223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257</xdr:row>
      <xdr:rowOff>1</xdr:rowOff>
    </xdr:from>
    <xdr:to>
      <xdr:col>9</xdr:col>
      <xdr:colOff>180976</xdr:colOff>
      <xdr:row>268</xdr:row>
      <xdr:rowOff>105307</xdr:rowOff>
    </xdr:to>
    <xdr:pic>
      <xdr:nvPicPr>
        <xdr:cNvPr id="30" name="Obraz 29">
          <a:extLst>
            <a:ext uri="{FF2B5EF4-FFF2-40B4-BE49-F238E27FC236}">
              <a16:creationId xmlns="" xmlns:a16="http://schemas.microsoft.com/office/drawing/2014/main" id="{5B571C2B-62E6-2B14-42DE-8E3B7F71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2095501"/>
          <a:ext cx="5257800" cy="2200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256</xdr:row>
      <xdr:rowOff>180975</xdr:rowOff>
    </xdr:from>
    <xdr:to>
      <xdr:col>21</xdr:col>
      <xdr:colOff>203998</xdr:colOff>
      <xdr:row>268</xdr:row>
      <xdr:rowOff>180975</xdr:rowOff>
    </xdr:to>
    <xdr:pic>
      <xdr:nvPicPr>
        <xdr:cNvPr id="31" name="Obraz 30">
          <a:extLst>
            <a:ext uri="{FF2B5EF4-FFF2-40B4-BE49-F238E27FC236}">
              <a16:creationId xmlns="" xmlns:a16="http://schemas.microsoft.com/office/drawing/2014/main" id="{5CCFA185-7777-E3B7-3D91-0AA55B43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53224" y="2085975"/>
          <a:ext cx="6299999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285</xdr:row>
      <xdr:rowOff>45332</xdr:rowOff>
    </xdr:from>
    <xdr:to>
      <xdr:col>2</xdr:col>
      <xdr:colOff>495300</xdr:colOff>
      <xdr:row>288</xdr:row>
      <xdr:rowOff>171450</xdr:rowOff>
    </xdr:to>
    <xdr:pic>
      <xdr:nvPicPr>
        <xdr:cNvPr id="34" name="Obraz 33">
          <a:extLst>
            <a:ext uri="{FF2B5EF4-FFF2-40B4-BE49-F238E27FC236}">
              <a16:creationId xmlns="" xmlns:a16="http://schemas.microsoft.com/office/drawing/2014/main" id="{7924236D-2878-4AFD-E6DF-5DF6F57FD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322432"/>
          <a:ext cx="1076325" cy="69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299</xdr:row>
      <xdr:rowOff>57150</xdr:rowOff>
    </xdr:from>
    <xdr:to>
      <xdr:col>10</xdr:col>
      <xdr:colOff>149183</xdr:colOff>
      <xdr:row>314</xdr:row>
      <xdr:rowOff>114300</xdr:rowOff>
    </xdr:to>
    <xdr:pic>
      <xdr:nvPicPr>
        <xdr:cNvPr id="35" name="Obraz 34">
          <a:extLst>
            <a:ext uri="{FF2B5EF4-FFF2-40B4-BE49-F238E27FC236}">
              <a16:creationId xmlns="" xmlns:a16="http://schemas.microsoft.com/office/drawing/2014/main" id="{C95F132E-0CE4-6F12-BF9A-24C8A327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077450"/>
          <a:ext cx="5835608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590549</xdr:colOff>
      <xdr:row>298</xdr:row>
      <xdr:rowOff>28575</xdr:rowOff>
    </xdr:from>
    <xdr:to>
      <xdr:col>19</xdr:col>
      <xdr:colOff>485774</xdr:colOff>
      <xdr:row>315</xdr:row>
      <xdr:rowOff>120125</xdr:rowOff>
    </xdr:to>
    <xdr:pic>
      <xdr:nvPicPr>
        <xdr:cNvPr id="36" name="Obraz 35">
          <a:extLst>
            <a:ext uri="{FF2B5EF4-FFF2-40B4-BE49-F238E27FC236}">
              <a16:creationId xmlns="" xmlns:a16="http://schemas.microsoft.com/office/drawing/2014/main" id="{C6436407-DDCC-93B0-A750-B8002AB97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34174" y="9858375"/>
          <a:ext cx="5381625" cy="3330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9525</xdr:rowOff>
    </xdr:from>
    <xdr:to>
      <xdr:col>6</xdr:col>
      <xdr:colOff>466725</xdr:colOff>
      <xdr:row>354</xdr:row>
      <xdr:rowOff>135176</xdr:rowOff>
    </xdr:to>
    <xdr:pic>
      <xdr:nvPicPr>
        <xdr:cNvPr id="38" name="Obraz 37">
          <a:extLst>
            <a:ext uri="{FF2B5EF4-FFF2-40B4-BE49-F238E27FC236}">
              <a16:creationId xmlns="" xmlns:a16="http://schemas.microsoft.com/office/drawing/2014/main" id="{88218DBC-4EFE-D05F-2E9C-8A1B8085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02425"/>
          <a:ext cx="3724275" cy="88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104775</xdr:colOff>
      <xdr:row>349</xdr:row>
      <xdr:rowOff>142875</xdr:rowOff>
    </xdr:from>
    <xdr:to>
      <xdr:col>15</xdr:col>
      <xdr:colOff>151074</xdr:colOff>
      <xdr:row>351</xdr:row>
      <xdr:rowOff>38874</xdr:rowOff>
    </xdr:to>
    <xdr:sp macro="" textlink="">
      <xdr:nvSpPr>
        <xdr:cNvPr id="39" name="Prostokąt 38">
          <a:extLst>
            <a:ext uri="{FF2B5EF4-FFF2-40B4-BE49-F238E27FC236}">
              <a16:creationId xmlns="" xmlns:a16="http://schemas.microsoft.com/office/drawing/2014/main" id="{AE174BC6-6627-A024-B748-D2DB5544BAC1}"/>
            </a:ext>
          </a:extLst>
        </xdr:cNvPr>
        <xdr:cNvSpPr/>
      </xdr:nvSpPr>
      <xdr:spPr>
        <a:xfrm>
          <a:off x="5638800" y="19345275"/>
          <a:ext cx="3703899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i="1">
              <a:solidFill>
                <a:srgbClr val="00B050"/>
              </a:solidFill>
            </a:rPr>
            <a:t>calculated for the horizontal curves which have widening</a:t>
          </a:r>
          <a:endParaRPr lang="pl-PL" sz="1200" i="1">
            <a:solidFill>
              <a:srgbClr val="00B050"/>
            </a:solidFill>
          </a:endParaRPr>
        </a:p>
      </xdr:txBody>
    </xdr:sp>
    <xdr:clientData/>
  </xdr:twoCellAnchor>
  <xdr:twoCellAnchor editAs="oneCell">
    <xdr:from>
      <xdr:col>9</xdr:col>
      <xdr:colOff>161925</xdr:colOff>
      <xdr:row>351</xdr:row>
      <xdr:rowOff>57150</xdr:rowOff>
    </xdr:from>
    <xdr:to>
      <xdr:col>14</xdr:col>
      <xdr:colOff>9525</xdr:colOff>
      <xdr:row>355</xdr:row>
      <xdr:rowOff>114300</xdr:rowOff>
    </xdr:to>
    <xdr:pic>
      <xdr:nvPicPr>
        <xdr:cNvPr id="40" name="Obraz 39">
          <a:extLst>
            <a:ext uri="{FF2B5EF4-FFF2-40B4-BE49-F238E27FC236}">
              <a16:creationId xmlns="" xmlns:a16="http://schemas.microsoft.com/office/drawing/2014/main" id="{023B0910-373B-7CF9-75CB-77CFFC5CB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9640550"/>
          <a:ext cx="28956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365</xdr:row>
      <xdr:rowOff>19050</xdr:rowOff>
    </xdr:from>
    <xdr:to>
      <xdr:col>3</xdr:col>
      <xdr:colOff>666750</xdr:colOff>
      <xdr:row>368</xdr:row>
      <xdr:rowOff>72701</xdr:rowOff>
    </xdr:to>
    <xdr:pic>
      <xdr:nvPicPr>
        <xdr:cNvPr id="41" name="Obraz 40">
          <a:extLst>
            <a:ext uri="{FF2B5EF4-FFF2-40B4-BE49-F238E27FC236}">
              <a16:creationId xmlns="" xmlns:a16="http://schemas.microsoft.com/office/drawing/2014/main" id="{0A2A6DB1-BD14-99B7-DCB6-EEAE2F2C7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345650"/>
          <a:ext cx="1914525" cy="625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365</xdr:row>
      <xdr:rowOff>53892</xdr:rowOff>
    </xdr:from>
    <xdr:to>
      <xdr:col>9</xdr:col>
      <xdr:colOff>266700</xdr:colOff>
      <xdr:row>369</xdr:row>
      <xdr:rowOff>110688</xdr:rowOff>
    </xdr:to>
    <xdr:pic>
      <xdr:nvPicPr>
        <xdr:cNvPr id="42" name="Obraz 41">
          <a:extLst>
            <a:ext uri="{FF2B5EF4-FFF2-40B4-BE49-F238E27FC236}">
              <a16:creationId xmlns="" xmlns:a16="http://schemas.microsoft.com/office/drawing/2014/main" id="{711A30FD-281B-2485-F998-667C075A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380492"/>
          <a:ext cx="2686050" cy="81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380</xdr:row>
      <xdr:rowOff>159883</xdr:rowOff>
    </xdr:from>
    <xdr:to>
      <xdr:col>5</xdr:col>
      <xdr:colOff>342900</xdr:colOff>
      <xdr:row>386</xdr:row>
      <xdr:rowOff>47624</xdr:rowOff>
    </xdr:to>
    <xdr:pic>
      <xdr:nvPicPr>
        <xdr:cNvPr id="43" name="Obraz 42">
          <a:extLst>
            <a:ext uri="{FF2B5EF4-FFF2-40B4-BE49-F238E27FC236}">
              <a16:creationId xmlns="" xmlns:a16="http://schemas.microsoft.com/office/drawing/2014/main" id="{0FB977D5-B91E-1DF8-D79A-D312367A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9044683"/>
          <a:ext cx="3000375" cy="103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600075</xdr:colOff>
      <xdr:row>379</xdr:row>
      <xdr:rowOff>152400</xdr:rowOff>
    </xdr:from>
    <xdr:to>
      <xdr:col>10</xdr:col>
      <xdr:colOff>498671</xdr:colOff>
      <xdr:row>381</xdr:row>
      <xdr:rowOff>48399</xdr:rowOff>
    </xdr:to>
    <xdr:sp macro="" textlink="">
      <xdr:nvSpPr>
        <xdr:cNvPr id="44" name="Prostokąt 43">
          <a:extLst>
            <a:ext uri="{FF2B5EF4-FFF2-40B4-BE49-F238E27FC236}">
              <a16:creationId xmlns="" xmlns:a16="http://schemas.microsoft.com/office/drawing/2014/main" id="{543AEB6F-CA90-0C6A-5273-6AE532191191}"/>
            </a:ext>
          </a:extLst>
        </xdr:cNvPr>
        <xdr:cNvSpPr/>
      </xdr:nvSpPr>
      <xdr:spPr>
        <a:xfrm>
          <a:off x="4914900" y="25184100"/>
          <a:ext cx="1727396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l-PL" sz="1200" i="1">
              <a:solidFill>
                <a:srgbClr val="00B050"/>
              </a:solidFill>
            </a:rPr>
            <a:t>recommended condition </a:t>
          </a:r>
        </a:p>
      </xdr:txBody>
    </xdr:sp>
    <xdr:clientData/>
  </xdr:twoCellAnchor>
  <xdr:twoCellAnchor editAs="oneCell">
    <xdr:from>
      <xdr:col>6</xdr:col>
      <xdr:colOff>523875</xdr:colOff>
      <xdr:row>381</xdr:row>
      <xdr:rowOff>38100</xdr:rowOff>
    </xdr:from>
    <xdr:to>
      <xdr:col>12</xdr:col>
      <xdr:colOff>17631</xdr:colOff>
      <xdr:row>386</xdr:row>
      <xdr:rowOff>38100</xdr:rowOff>
    </xdr:to>
    <xdr:pic>
      <xdr:nvPicPr>
        <xdr:cNvPr id="45" name="Obraz 44">
          <a:extLst>
            <a:ext uri="{FF2B5EF4-FFF2-40B4-BE49-F238E27FC236}">
              <a16:creationId xmlns="" xmlns:a16="http://schemas.microsoft.com/office/drawing/2014/main" id="{67A467C6-A9FD-DA66-896D-7D332E0EF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5450800"/>
          <a:ext cx="315135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397</xdr:row>
      <xdr:rowOff>5941</xdr:rowOff>
    </xdr:from>
    <xdr:to>
      <xdr:col>5</xdr:col>
      <xdr:colOff>409575</xdr:colOff>
      <xdr:row>406</xdr:row>
      <xdr:rowOff>121546</xdr:rowOff>
    </xdr:to>
    <xdr:pic>
      <xdr:nvPicPr>
        <xdr:cNvPr id="46" name="Obraz 45">
          <a:extLst>
            <a:ext uri="{FF2B5EF4-FFF2-40B4-BE49-F238E27FC236}">
              <a16:creationId xmlns="" xmlns:a16="http://schemas.microsoft.com/office/drawing/2014/main" id="{ED7E5367-7DCA-03B3-AB45-F491690E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542841"/>
          <a:ext cx="3038475" cy="183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581025</xdr:colOff>
      <xdr:row>396</xdr:row>
      <xdr:rowOff>114300</xdr:rowOff>
    </xdr:from>
    <xdr:to>
      <xdr:col>13</xdr:col>
      <xdr:colOff>479621</xdr:colOff>
      <xdr:row>398</xdr:row>
      <xdr:rowOff>10299</xdr:rowOff>
    </xdr:to>
    <xdr:sp macro="" textlink="">
      <xdr:nvSpPr>
        <xdr:cNvPr id="47" name="Prostokąt 46">
          <a:extLst>
            <a:ext uri="{FF2B5EF4-FFF2-40B4-BE49-F238E27FC236}">
              <a16:creationId xmlns="" xmlns:a16="http://schemas.microsoft.com/office/drawing/2014/main" id="{EFCAC580-5B06-3CDE-EBD2-0B787D4397DC}"/>
            </a:ext>
          </a:extLst>
        </xdr:cNvPr>
        <xdr:cNvSpPr/>
      </xdr:nvSpPr>
      <xdr:spPr>
        <a:xfrm>
          <a:off x="6724650" y="28460700"/>
          <a:ext cx="1727396" cy="27699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pl-P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l-PL" sz="1200" i="1">
              <a:solidFill>
                <a:srgbClr val="00B050"/>
              </a:solidFill>
            </a:rPr>
            <a:t>recommended condition </a:t>
          </a:r>
        </a:p>
      </xdr:txBody>
    </xdr:sp>
    <xdr:clientData/>
  </xdr:twoCellAnchor>
  <xdr:twoCellAnchor editAs="oneCell">
    <xdr:from>
      <xdr:col>6</xdr:col>
      <xdr:colOff>257175</xdr:colOff>
      <xdr:row>398</xdr:row>
      <xdr:rowOff>142874</xdr:rowOff>
    </xdr:from>
    <xdr:to>
      <xdr:col>18</xdr:col>
      <xdr:colOff>170307</xdr:colOff>
      <xdr:row>406</xdr:row>
      <xdr:rowOff>95249</xdr:rowOff>
    </xdr:to>
    <xdr:pic>
      <xdr:nvPicPr>
        <xdr:cNvPr id="48" name="Obraz 47">
          <a:extLst>
            <a:ext uri="{FF2B5EF4-FFF2-40B4-BE49-F238E27FC236}">
              <a16:creationId xmlns="" xmlns:a16="http://schemas.microsoft.com/office/drawing/2014/main" id="{3C31CB3B-B146-23EC-5998-7FAEA5F7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8870274"/>
          <a:ext cx="7228332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460218</xdr:colOff>
      <xdr:row>434</xdr:row>
      <xdr:rowOff>101302</xdr:rowOff>
    </xdr:from>
    <xdr:to>
      <xdr:col>19</xdr:col>
      <xdr:colOff>475026</xdr:colOff>
      <xdr:row>443</xdr:row>
      <xdr:rowOff>91326</xdr:rowOff>
    </xdr:to>
    <xdr:pic>
      <xdr:nvPicPr>
        <xdr:cNvPr id="49" name="Obraz 48">
          <a:extLst>
            <a:ext uri="{FF2B5EF4-FFF2-40B4-BE49-F238E27FC236}">
              <a16:creationId xmlns="" xmlns:a16="http://schemas.microsoft.com/office/drawing/2014/main" id="{58D5538C-1908-A6EA-327F-7BD39AE2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80268" y="79425502"/>
          <a:ext cx="3672408" cy="170452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419</xdr:row>
      <xdr:rowOff>19049</xdr:rowOff>
    </xdr:from>
    <xdr:to>
      <xdr:col>21</xdr:col>
      <xdr:colOff>247650</xdr:colOff>
      <xdr:row>434</xdr:row>
      <xdr:rowOff>154404</xdr:rowOff>
    </xdr:to>
    <xdr:pic>
      <xdr:nvPicPr>
        <xdr:cNvPr id="50" name="Obraz 49">
          <a:extLst>
            <a:ext uri="{FF2B5EF4-FFF2-40B4-BE49-F238E27FC236}">
              <a16:creationId xmlns="" xmlns:a16="http://schemas.microsoft.com/office/drawing/2014/main" id="{A21F0A99-09C4-0087-E697-CD024B598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458075" y="76485749"/>
          <a:ext cx="5686425" cy="299285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418</xdr:row>
      <xdr:rowOff>189875</xdr:rowOff>
    </xdr:from>
    <xdr:to>
      <xdr:col>10</xdr:col>
      <xdr:colOff>428626</xdr:colOff>
      <xdr:row>426</xdr:row>
      <xdr:rowOff>180975</xdr:rowOff>
    </xdr:to>
    <xdr:pic>
      <xdr:nvPicPr>
        <xdr:cNvPr id="51" name="Picture 2">
          <a:extLst>
            <a:ext uri="{FF2B5EF4-FFF2-40B4-BE49-F238E27FC236}">
              <a16:creationId xmlns="" xmlns:a16="http://schemas.microsoft.com/office/drawing/2014/main" id="{B1207B01-4C9D-1B84-4359-28EF942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42926" y="76466075"/>
          <a:ext cx="6191250" cy="15151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600076</xdr:colOff>
      <xdr:row>428</xdr:row>
      <xdr:rowOff>29396</xdr:rowOff>
    </xdr:from>
    <xdr:to>
      <xdr:col>6</xdr:col>
      <xdr:colOff>174688</xdr:colOff>
      <xdr:row>436</xdr:row>
      <xdr:rowOff>171449</xdr:rowOff>
    </xdr:to>
    <xdr:pic>
      <xdr:nvPicPr>
        <xdr:cNvPr id="52" name="Obraz 51">
          <a:extLst>
            <a:ext uri="{FF2B5EF4-FFF2-40B4-BE49-F238E27FC236}">
              <a16:creationId xmlns="" xmlns:a16="http://schemas.microsoft.com/office/drawing/2014/main" id="{BB38DC68-B754-023D-8C48-A74184EC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0076" y="78210596"/>
          <a:ext cx="3441762" cy="166605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269</xdr:row>
      <xdr:rowOff>114299</xdr:rowOff>
    </xdr:from>
    <xdr:to>
      <xdr:col>12</xdr:col>
      <xdr:colOff>419101</xdr:colOff>
      <xdr:row>275</xdr:row>
      <xdr:rowOff>168549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7201" y="47339249"/>
          <a:ext cx="7486650" cy="122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316</xdr:row>
      <xdr:rowOff>104775</xdr:rowOff>
    </xdr:from>
    <xdr:to>
      <xdr:col>12</xdr:col>
      <xdr:colOff>247132</xdr:colOff>
      <xdr:row>328</xdr:row>
      <xdr:rowOff>47625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7200" y="56454675"/>
          <a:ext cx="7314682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226</xdr:row>
      <xdr:rowOff>38100</xdr:rowOff>
    </xdr:from>
    <xdr:to>
      <xdr:col>12</xdr:col>
      <xdr:colOff>29551</xdr:colOff>
      <xdr:row>238</xdr:row>
      <xdr:rowOff>124160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1975" y="43405425"/>
          <a:ext cx="6992326" cy="2400635"/>
        </a:xfrm>
        <a:prstGeom prst="rect">
          <a:avLst/>
        </a:prstGeom>
      </xdr:spPr>
    </xdr:pic>
    <xdr:clientData/>
  </xdr:twoCellAnchor>
  <xdr:twoCellAnchor editAs="oneCell">
    <xdr:from>
      <xdr:col>29</xdr:col>
      <xdr:colOff>133350</xdr:colOff>
      <xdr:row>225</xdr:row>
      <xdr:rowOff>79822</xdr:rowOff>
    </xdr:from>
    <xdr:to>
      <xdr:col>33</xdr:col>
      <xdr:colOff>476250</xdr:colOff>
      <xdr:row>239</xdr:row>
      <xdr:rowOff>95870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021300" y="43256647"/>
          <a:ext cx="2781300" cy="2711623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473</xdr:row>
      <xdr:rowOff>9525</xdr:rowOff>
    </xdr:from>
    <xdr:to>
      <xdr:col>9</xdr:col>
      <xdr:colOff>57150</xdr:colOff>
      <xdr:row>482</xdr:row>
      <xdr:rowOff>114426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0550" y="91287600"/>
          <a:ext cx="5162550" cy="181940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473</xdr:row>
      <xdr:rowOff>117290</xdr:rowOff>
    </xdr:from>
    <xdr:to>
      <xdr:col>1</xdr:col>
      <xdr:colOff>314325</xdr:colOff>
      <xdr:row>474</xdr:row>
      <xdr:rowOff>181059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5800" y="9139536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474</xdr:row>
      <xdr:rowOff>145865</xdr:rowOff>
    </xdr:from>
    <xdr:to>
      <xdr:col>6</xdr:col>
      <xdr:colOff>95250</xdr:colOff>
      <xdr:row>476</xdr:row>
      <xdr:rowOff>19134</xdr:rowOff>
    </xdr:to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24275" y="91614440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486</xdr:row>
      <xdr:rowOff>113576</xdr:rowOff>
    </xdr:from>
    <xdr:to>
      <xdr:col>8</xdr:col>
      <xdr:colOff>533400</xdr:colOff>
      <xdr:row>493</xdr:row>
      <xdr:rowOff>170362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33425" y="93868151"/>
          <a:ext cx="4886325" cy="139028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486</xdr:row>
      <xdr:rowOff>95250</xdr:rowOff>
    </xdr:from>
    <xdr:to>
      <xdr:col>1</xdr:col>
      <xdr:colOff>371475</xdr:colOff>
      <xdr:row>487</xdr:row>
      <xdr:rowOff>159019</xdr:rowOff>
    </xdr:to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2950" y="9384982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257176</xdr:colOff>
      <xdr:row>488</xdr:row>
      <xdr:rowOff>24217</xdr:rowOff>
    </xdr:from>
    <xdr:to>
      <xdr:col>6</xdr:col>
      <xdr:colOff>500062</xdr:colOff>
      <xdr:row>489</xdr:row>
      <xdr:rowOff>6619</xdr:rowOff>
    </xdr:to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14801" y="94101451"/>
          <a:ext cx="242886" cy="1729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499</xdr:row>
      <xdr:rowOff>90652</xdr:rowOff>
    </xdr:from>
    <xdr:to>
      <xdr:col>7</xdr:col>
      <xdr:colOff>466725</xdr:colOff>
      <xdr:row>505</xdr:row>
      <xdr:rowOff>171651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3900" y="96321727"/>
          <a:ext cx="4219575" cy="12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499</xdr:row>
      <xdr:rowOff>152400</xdr:rowOff>
    </xdr:from>
    <xdr:to>
      <xdr:col>1</xdr:col>
      <xdr:colOff>371475</xdr:colOff>
      <xdr:row>501</xdr:row>
      <xdr:rowOff>25669</xdr:rowOff>
    </xdr:to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2950" y="96383475"/>
          <a:ext cx="238125" cy="25426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139</xdr:row>
      <xdr:rowOff>19050</xdr:rowOff>
    </xdr:from>
    <xdr:to>
      <xdr:col>19</xdr:col>
      <xdr:colOff>371475</xdr:colOff>
      <xdr:row>140</xdr:row>
      <xdr:rowOff>152463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410700" y="26774775"/>
          <a:ext cx="2752725" cy="323913"/>
        </a:xfrm>
        <a:prstGeom prst="rect">
          <a:avLst/>
        </a:prstGeom>
      </xdr:spPr>
    </xdr:pic>
    <xdr:clientData/>
  </xdr:twoCellAnchor>
  <xdr:twoCellAnchor editAs="oneCell">
    <xdr:from>
      <xdr:col>25</xdr:col>
      <xdr:colOff>485775</xdr:colOff>
      <xdr:row>114</xdr:row>
      <xdr:rowOff>19050</xdr:rowOff>
    </xdr:from>
    <xdr:to>
      <xdr:col>38</xdr:col>
      <xdr:colOff>600075</xdr:colOff>
      <xdr:row>120</xdr:row>
      <xdr:rowOff>123825</xdr:rowOff>
    </xdr:to>
    <xdr:sp macro="" textlink="">
      <xdr:nvSpPr>
        <xdr:cNvPr id="3073" name="AutoShape 1" descr="tabela"/>
        <xdr:cNvSpPr>
          <a:spLocks noChangeAspect="1" noChangeArrowheads="1"/>
        </xdr:cNvSpPr>
      </xdr:nvSpPr>
      <xdr:spPr bwMode="auto">
        <a:xfrm>
          <a:off x="15935325" y="22164675"/>
          <a:ext cx="803910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304800</xdr:colOff>
      <xdr:row>41</xdr:row>
      <xdr:rowOff>142875</xdr:rowOff>
    </xdr:from>
    <xdr:ext cx="6943725" cy="6038850"/>
    <xdr:pic>
      <xdr:nvPicPr>
        <xdr:cNvPr id="2" name="Obraz 1">
          <a:extLst>
            <a:ext uri="{FF2B5EF4-FFF2-40B4-BE49-F238E27FC236}">
              <a16:creationId xmlns:a16="http://schemas.microsoft.com/office/drawing/2014/main" xmlns="" id="{C823825F-658C-F4A0-1A2E-FA6E0EAB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076450"/>
          <a:ext cx="6943725" cy="603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600075</xdr:colOff>
      <xdr:row>43</xdr:row>
      <xdr:rowOff>171450</xdr:rowOff>
    </xdr:from>
    <xdr:ext cx="5776073" cy="3682640"/>
    <xdr:pic>
      <xdr:nvPicPr>
        <xdr:cNvPr id="3" name="Obraz 2">
          <a:extLst>
            <a:ext uri="{FF2B5EF4-FFF2-40B4-BE49-F238E27FC236}">
              <a16:creationId xmlns:a16="http://schemas.microsoft.com/office/drawing/2014/main" xmlns="" id="{09E3D4E0-F968-EF09-4570-492EF06F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86025"/>
          <a:ext cx="5776073" cy="368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19050</xdr:colOff>
      <xdr:row>77</xdr:row>
      <xdr:rowOff>9525</xdr:rowOff>
    </xdr:from>
    <xdr:ext cx="4893461" cy="3308647"/>
    <xdr:pic>
      <xdr:nvPicPr>
        <xdr:cNvPr id="4" name="Obraz 3">
          <a:extLst>
            <a:ext uri="{FF2B5EF4-FFF2-40B4-BE49-F238E27FC236}">
              <a16:creationId xmlns:a16="http://schemas.microsoft.com/office/drawing/2014/main" xmlns="" id="{F33B4432-F61E-77EE-CBA3-5C8E7B66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0" y="8877300"/>
          <a:ext cx="4893461" cy="3308647"/>
        </a:xfrm>
        <a:prstGeom prst="rect">
          <a:avLst/>
        </a:prstGeom>
      </xdr:spPr>
    </xdr:pic>
    <xdr:clientData/>
  </xdr:oneCellAnchor>
  <xdr:oneCellAnchor>
    <xdr:from>
      <xdr:col>22</xdr:col>
      <xdr:colOff>24383</xdr:colOff>
      <xdr:row>94</xdr:row>
      <xdr:rowOff>9525</xdr:rowOff>
    </xdr:from>
    <xdr:ext cx="4536504" cy="3327246"/>
    <xdr:pic>
      <xdr:nvPicPr>
        <xdr:cNvPr id="5" name="Obraz 4">
          <a:extLst>
            <a:ext uri="{FF2B5EF4-FFF2-40B4-BE49-F238E27FC236}">
              <a16:creationId xmlns:a16="http://schemas.microsoft.com/office/drawing/2014/main" xmlns="" id="{4E50BA5C-A77D-2867-E1EA-1378B05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35583" y="12153900"/>
          <a:ext cx="4536504" cy="3327246"/>
        </a:xfrm>
        <a:prstGeom prst="rect">
          <a:avLst/>
        </a:prstGeom>
      </xdr:spPr>
    </xdr:pic>
    <xdr:clientData/>
  </xdr:oneCellAnchor>
  <xdr:oneCellAnchor>
    <xdr:from>
      <xdr:col>10</xdr:col>
      <xdr:colOff>571499</xdr:colOff>
      <xdr:row>114</xdr:row>
      <xdr:rowOff>159722</xdr:rowOff>
    </xdr:from>
    <xdr:ext cx="5032822" cy="868977"/>
    <xdr:pic>
      <xdr:nvPicPr>
        <xdr:cNvPr id="6" name="Obraz 5">
          <a:extLst>
            <a:ext uri="{FF2B5EF4-FFF2-40B4-BE49-F238E27FC236}">
              <a16:creationId xmlns:a16="http://schemas.microsoft.com/office/drawing/2014/main" xmlns="" id="{BF92675E-6363-ABEE-CDE8-CE698E65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499" y="17104697"/>
          <a:ext cx="5032822" cy="86897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125</xdr:row>
      <xdr:rowOff>38100</xdr:rowOff>
    </xdr:from>
    <xdr:ext cx="6334125" cy="4265098"/>
    <xdr:pic>
      <xdr:nvPicPr>
        <xdr:cNvPr id="7" name="Obraz 6">
          <a:extLst>
            <a:ext uri="{FF2B5EF4-FFF2-40B4-BE49-F238E27FC236}">
              <a16:creationId xmlns:a16="http://schemas.microsoft.com/office/drawing/2014/main" xmlns="" id="{385368F2-264F-5FBB-049B-FDEE2CBD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17745075"/>
          <a:ext cx="6334125" cy="4265098"/>
        </a:xfrm>
        <a:prstGeom prst="rect">
          <a:avLst/>
        </a:prstGeom>
      </xdr:spPr>
    </xdr:pic>
    <xdr:clientData/>
  </xdr:oneCellAnchor>
  <xdr:oneCellAnchor>
    <xdr:from>
      <xdr:col>24</xdr:col>
      <xdr:colOff>172466</xdr:colOff>
      <xdr:row>149</xdr:row>
      <xdr:rowOff>151631</xdr:rowOff>
    </xdr:from>
    <xdr:ext cx="1872208" cy="567336"/>
    <xdr:pic>
      <xdr:nvPicPr>
        <xdr:cNvPr id="9" name="Obraz 8">
          <a:extLst>
            <a:ext uri="{FF2B5EF4-FFF2-40B4-BE49-F238E27FC236}">
              <a16:creationId xmlns:a16="http://schemas.microsoft.com/office/drawing/2014/main" xmlns="" id="{0568CED9-2F1D-B222-A2CF-D597A2C5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02866" y="22430606"/>
          <a:ext cx="1872208" cy="567336"/>
        </a:xfrm>
        <a:prstGeom prst="rect">
          <a:avLst/>
        </a:prstGeom>
      </xdr:spPr>
    </xdr:pic>
    <xdr:clientData/>
  </xdr:oneCellAnchor>
  <xdr:oneCellAnchor>
    <xdr:from>
      <xdr:col>21</xdr:col>
      <xdr:colOff>266700</xdr:colOff>
      <xdr:row>147</xdr:row>
      <xdr:rowOff>161925</xdr:rowOff>
    </xdr:from>
    <xdr:ext cx="1381125" cy="400050"/>
    <xdr:pic>
      <xdr:nvPicPr>
        <xdr:cNvPr id="10" name="Obraz 9">
          <a:extLst>
            <a:ext uri="{FF2B5EF4-FFF2-40B4-BE49-F238E27FC236}">
              <a16:creationId xmlns:a16="http://schemas.microsoft.com/office/drawing/2014/main" xmlns="" id="{82AB5879-7F58-DCC9-7177-DBB48811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068300" y="22059900"/>
          <a:ext cx="1381125" cy="400050"/>
        </a:xfrm>
        <a:prstGeom prst="rect">
          <a:avLst/>
        </a:prstGeom>
      </xdr:spPr>
    </xdr:pic>
    <xdr:clientData/>
  </xdr:oneCellAnchor>
  <xdr:oneCellAnchor>
    <xdr:from>
      <xdr:col>21</xdr:col>
      <xdr:colOff>375567</xdr:colOff>
      <xdr:row>150</xdr:row>
      <xdr:rowOff>7943</xdr:rowOff>
    </xdr:from>
    <xdr:ext cx="936104" cy="500491"/>
    <xdr:pic>
      <xdr:nvPicPr>
        <xdr:cNvPr id="11" name="Obraz 10">
          <a:extLst>
            <a:ext uri="{FF2B5EF4-FFF2-40B4-BE49-F238E27FC236}">
              <a16:creationId xmlns:a16="http://schemas.microsoft.com/office/drawing/2014/main" xmlns="" id="{10F159E9-01B2-91BB-5F63-F2AC15BD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77167" y="22477418"/>
          <a:ext cx="936104" cy="500491"/>
        </a:xfrm>
        <a:prstGeom prst="rect">
          <a:avLst/>
        </a:prstGeom>
      </xdr:spPr>
    </xdr:pic>
    <xdr:clientData/>
  </xdr:oneCellAnchor>
  <xdr:oneCellAnchor>
    <xdr:from>
      <xdr:col>23</xdr:col>
      <xdr:colOff>261056</xdr:colOff>
      <xdr:row>150</xdr:row>
      <xdr:rowOff>72450</xdr:rowOff>
    </xdr:from>
    <xdr:ext cx="381000" cy="276225"/>
    <xdr:pic>
      <xdr:nvPicPr>
        <xdr:cNvPr id="12" name="Obraz 11">
          <a:extLst>
            <a:ext uri="{FF2B5EF4-FFF2-40B4-BE49-F238E27FC236}">
              <a16:creationId xmlns:a16="http://schemas.microsoft.com/office/drawing/2014/main" xmlns="" id="{93B69E17-802C-0BBC-4BA6-2792183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1856" y="22541925"/>
          <a:ext cx="381000" cy="276225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167</xdr:row>
      <xdr:rowOff>142875</xdr:rowOff>
    </xdr:from>
    <xdr:ext cx="6192688" cy="2772209"/>
    <xdr:pic>
      <xdr:nvPicPr>
        <xdr:cNvPr id="13" name="Obraz 12">
          <a:extLst>
            <a:ext uri="{FF2B5EF4-FFF2-40B4-BE49-F238E27FC236}">
              <a16:creationId xmlns:a16="http://schemas.microsoft.com/office/drawing/2014/main" xmlns="" id="{52DD6439-0B07-629B-AEB8-49C8B65B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15125" y="26117550"/>
          <a:ext cx="6192688" cy="2772209"/>
        </a:xfrm>
        <a:prstGeom prst="rect">
          <a:avLst/>
        </a:prstGeom>
      </xdr:spPr>
    </xdr:pic>
    <xdr:clientData/>
  </xdr:oneCellAnchor>
  <xdr:oneCellAnchor>
    <xdr:from>
      <xdr:col>16</xdr:col>
      <xdr:colOff>447676</xdr:colOff>
      <xdr:row>190</xdr:row>
      <xdr:rowOff>161926</xdr:rowOff>
    </xdr:from>
    <xdr:ext cx="5219700" cy="1936499"/>
    <xdr:pic>
      <xdr:nvPicPr>
        <xdr:cNvPr id="14" name="Obraz 13">
          <a:extLst>
            <a:ext uri="{FF2B5EF4-FFF2-40B4-BE49-F238E27FC236}">
              <a16:creationId xmlns:a16="http://schemas.microsoft.com/office/drawing/2014/main" xmlns="" id="{6C923499-E187-29E6-C961-65481A36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01276" y="30632401"/>
          <a:ext cx="5219700" cy="1936499"/>
        </a:xfrm>
        <a:prstGeom prst="rect">
          <a:avLst/>
        </a:prstGeom>
      </xdr:spPr>
    </xdr:pic>
    <xdr:clientData/>
  </xdr:oneCellAnchor>
  <xdr:oneCellAnchor>
    <xdr:from>
      <xdr:col>16</xdr:col>
      <xdr:colOff>457199</xdr:colOff>
      <xdr:row>204</xdr:row>
      <xdr:rowOff>161925</xdr:rowOff>
    </xdr:from>
    <xdr:ext cx="5057775" cy="2427732"/>
    <xdr:pic>
      <xdr:nvPicPr>
        <xdr:cNvPr id="15" name="Obraz 14">
          <a:extLst>
            <a:ext uri="{FF2B5EF4-FFF2-40B4-BE49-F238E27FC236}">
              <a16:creationId xmlns:a16="http://schemas.microsoft.com/office/drawing/2014/main" xmlns="" id="{1BDF366B-C972-9020-7E13-E69DCAF1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99" y="33337500"/>
          <a:ext cx="5057775" cy="2427732"/>
        </a:xfrm>
        <a:prstGeom prst="rect">
          <a:avLst/>
        </a:prstGeom>
      </xdr:spPr>
    </xdr:pic>
    <xdr:clientData/>
  </xdr:oneCellAnchor>
  <xdr:oneCellAnchor>
    <xdr:from>
      <xdr:col>8</xdr:col>
      <xdr:colOff>542925</xdr:colOff>
      <xdr:row>220</xdr:row>
      <xdr:rowOff>104775</xdr:rowOff>
    </xdr:from>
    <xdr:ext cx="3744416" cy="2439173"/>
    <xdr:pic>
      <xdr:nvPicPr>
        <xdr:cNvPr id="16" name="Obraz 15">
          <a:extLst>
            <a:ext uri="{FF2B5EF4-FFF2-40B4-BE49-F238E27FC236}">
              <a16:creationId xmlns:a16="http://schemas.microsoft.com/office/drawing/2014/main" xmlns="" id="{08283D20-CDAB-2497-B28A-8BAA7C65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19725" y="36366450"/>
          <a:ext cx="3744416" cy="2439173"/>
        </a:xfrm>
        <a:prstGeom prst="rect">
          <a:avLst/>
        </a:prstGeom>
      </xdr:spPr>
    </xdr:pic>
    <xdr:clientData/>
  </xdr:oneCellAnchor>
  <xdr:oneCellAnchor>
    <xdr:from>
      <xdr:col>12</xdr:col>
      <xdr:colOff>590550</xdr:colOff>
      <xdr:row>253</xdr:row>
      <xdr:rowOff>66675</xdr:rowOff>
    </xdr:from>
    <xdr:ext cx="6358174" cy="3676650"/>
    <xdr:pic>
      <xdr:nvPicPr>
        <xdr:cNvPr id="18" name="Obraz 17">
          <a:extLst>
            <a:ext uri="{FF2B5EF4-FFF2-40B4-BE49-F238E27FC236}">
              <a16:creationId xmlns:a16="http://schemas.microsoft.com/office/drawing/2014/main" xmlns="" id="{B35AF2CE-C1B2-5C93-C1DD-E0E57804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05750" y="42643425"/>
          <a:ext cx="6358174" cy="3676650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55</xdr:row>
      <xdr:rowOff>104775</xdr:rowOff>
    </xdr:from>
    <xdr:to>
      <xdr:col>11</xdr:col>
      <xdr:colOff>134281</xdr:colOff>
      <xdr:row>70</xdr:row>
      <xdr:rowOff>105174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1450" y="4743450"/>
          <a:ext cx="6668431" cy="285789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114</xdr:row>
      <xdr:rowOff>168542</xdr:rowOff>
    </xdr:from>
    <xdr:to>
      <xdr:col>9</xdr:col>
      <xdr:colOff>152401</xdr:colOff>
      <xdr:row>119</xdr:row>
      <xdr:rowOff>85882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2451" y="17113517"/>
          <a:ext cx="5086350" cy="86984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78</xdr:row>
      <xdr:rowOff>76200</xdr:rowOff>
    </xdr:from>
    <xdr:to>
      <xdr:col>19</xdr:col>
      <xdr:colOff>180975</xdr:colOff>
      <xdr:row>100</xdr:row>
      <xdr:rowOff>7076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53300" y="9134475"/>
          <a:ext cx="4410075" cy="4159976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126</xdr:row>
      <xdr:rowOff>9524</xdr:rowOff>
    </xdr:from>
    <xdr:to>
      <xdr:col>18</xdr:col>
      <xdr:colOff>342661</xdr:colOff>
      <xdr:row>150</xdr:row>
      <xdr:rowOff>190499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76875" y="17716499"/>
          <a:ext cx="5838586" cy="479107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100</xdr:row>
      <xdr:rowOff>32054</xdr:rowOff>
    </xdr:from>
    <xdr:to>
      <xdr:col>21</xdr:col>
      <xdr:colOff>257175</xdr:colOff>
      <xdr:row>109</xdr:row>
      <xdr:rowOff>133624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334250" y="13319429"/>
          <a:ext cx="5724525" cy="185417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103</xdr:row>
      <xdr:rowOff>104775</xdr:rowOff>
    </xdr:from>
    <xdr:to>
      <xdr:col>15</xdr:col>
      <xdr:colOff>419100</xdr:colOff>
      <xdr:row>104</xdr:row>
      <xdr:rowOff>176214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15450" y="13963650"/>
          <a:ext cx="247650" cy="261939"/>
        </a:xfrm>
        <a:prstGeom prst="rect">
          <a:avLst/>
        </a:prstGeom>
      </xdr:spPr>
    </xdr:pic>
    <xdr:clientData/>
  </xdr:twoCellAnchor>
  <xdr:twoCellAnchor editAs="oneCell">
    <xdr:from>
      <xdr:col>26</xdr:col>
      <xdr:colOff>57149</xdr:colOff>
      <xdr:row>102</xdr:row>
      <xdr:rowOff>76200</xdr:rowOff>
    </xdr:from>
    <xdr:to>
      <xdr:col>26</xdr:col>
      <xdr:colOff>246262</xdr:colOff>
      <xdr:row>103</xdr:row>
      <xdr:rowOff>85726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906749" y="13744575"/>
          <a:ext cx="189113" cy="200026"/>
        </a:xfrm>
        <a:prstGeom prst="rect">
          <a:avLst/>
        </a:prstGeom>
      </xdr:spPr>
    </xdr:pic>
    <xdr:clientData/>
  </xdr:twoCellAnchor>
  <xdr:twoCellAnchor editAs="oneCell">
    <xdr:from>
      <xdr:col>12</xdr:col>
      <xdr:colOff>26498</xdr:colOff>
      <xdr:row>140</xdr:row>
      <xdr:rowOff>133350</xdr:rowOff>
    </xdr:from>
    <xdr:to>
      <xdr:col>12</xdr:col>
      <xdr:colOff>175088</xdr:colOff>
      <xdr:row>141</xdr:row>
      <xdr:rowOff>100014</xdr:rowOff>
    </xdr:to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41698" y="20697825"/>
          <a:ext cx="148590" cy="157164"/>
        </a:xfrm>
        <a:prstGeom prst="rect">
          <a:avLst/>
        </a:prstGeom>
      </xdr:spPr>
    </xdr:pic>
    <xdr:clientData/>
  </xdr:twoCellAnchor>
  <xdr:twoCellAnchor editAs="oneCell">
    <xdr:from>
      <xdr:col>24</xdr:col>
      <xdr:colOff>159847</xdr:colOff>
      <xdr:row>141</xdr:row>
      <xdr:rowOff>38100</xdr:rowOff>
    </xdr:from>
    <xdr:to>
      <xdr:col>24</xdr:col>
      <xdr:colOff>294927</xdr:colOff>
      <xdr:row>141</xdr:row>
      <xdr:rowOff>180975</xdr:rowOff>
    </xdr:to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790247" y="20793075"/>
          <a:ext cx="135080" cy="14287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150</xdr:row>
      <xdr:rowOff>10985</xdr:rowOff>
    </xdr:from>
    <xdr:to>
      <xdr:col>12</xdr:col>
      <xdr:colOff>114300</xdr:colOff>
      <xdr:row>151</xdr:row>
      <xdr:rowOff>95309</xdr:rowOff>
    </xdr:to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91275" y="22480460"/>
          <a:ext cx="1038225" cy="274824"/>
        </a:xfrm>
        <a:prstGeom prst="rect">
          <a:avLst/>
        </a:prstGeom>
      </xdr:spPr>
    </xdr:pic>
    <xdr:clientData/>
  </xdr:twoCellAnchor>
  <xdr:oneCellAnchor>
    <xdr:from>
      <xdr:col>13</xdr:col>
      <xdr:colOff>562991</xdr:colOff>
      <xdr:row>150</xdr:row>
      <xdr:rowOff>227831</xdr:rowOff>
    </xdr:from>
    <xdr:ext cx="1872208" cy="567336"/>
    <xdr:pic>
      <xdr:nvPicPr>
        <xdr:cNvPr id="34" name="Obraz 33">
          <a:extLst>
            <a:ext uri="{FF2B5EF4-FFF2-40B4-BE49-F238E27FC236}">
              <a16:creationId xmlns:a16="http://schemas.microsoft.com/office/drawing/2014/main" xmlns="" id="{0568CED9-2F1D-B222-A2CF-D597A2C5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7791" y="22697306"/>
          <a:ext cx="1872208" cy="567336"/>
        </a:xfrm>
        <a:prstGeom prst="rect">
          <a:avLst/>
        </a:prstGeom>
      </xdr:spPr>
    </xdr:pic>
    <xdr:clientData/>
  </xdr:oneCellAnchor>
  <xdr:oneCellAnchor>
    <xdr:from>
      <xdr:col>11</xdr:col>
      <xdr:colOff>156492</xdr:colOff>
      <xdr:row>151</xdr:row>
      <xdr:rowOff>46043</xdr:rowOff>
    </xdr:from>
    <xdr:ext cx="936104" cy="500491"/>
    <xdr:pic>
      <xdr:nvPicPr>
        <xdr:cNvPr id="35" name="Obraz 34">
          <a:extLst>
            <a:ext uri="{FF2B5EF4-FFF2-40B4-BE49-F238E27FC236}">
              <a16:creationId xmlns:a16="http://schemas.microsoft.com/office/drawing/2014/main" xmlns="" id="{10F159E9-01B2-91BB-5F63-F2AC15BD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62092" y="22744118"/>
          <a:ext cx="936104" cy="500491"/>
        </a:xfrm>
        <a:prstGeom prst="rect">
          <a:avLst/>
        </a:prstGeom>
      </xdr:spPr>
    </xdr:pic>
    <xdr:clientData/>
  </xdr:oneCellAnchor>
  <xdr:oneCellAnchor>
    <xdr:from>
      <xdr:col>13</xdr:col>
      <xdr:colOff>41981</xdr:colOff>
      <xdr:row>151</xdr:row>
      <xdr:rowOff>110550</xdr:rowOff>
    </xdr:from>
    <xdr:ext cx="381000" cy="276225"/>
    <xdr:pic>
      <xdr:nvPicPr>
        <xdr:cNvPr id="36" name="Obraz 35">
          <a:extLst>
            <a:ext uri="{FF2B5EF4-FFF2-40B4-BE49-F238E27FC236}">
              <a16:creationId xmlns:a16="http://schemas.microsoft.com/office/drawing/2014/main" xmlns="" id="{93B69E17-802C-0BBC-4BA6-2792183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6781" y="22808625"/>
          <a:ext cx="381000" cy="276225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167</xdr:row>
      <xdr:rowOff>169587</xdr:rowOff>
    </xdr:from>
    <xdr:to>
      <xdr:col>7</xdr:col>
      <xdr:colOff>533399</xdr:colOff>
      <xdr:row>177</xdr:row>
      <xdr:rowOff>3319</xdr:rowOff>
    </xdr:to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26144262"/>
          <a:ext cx="4190999" cy="1738732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177</xdr:row>
      <xdr:rowOff>133729</xdr:rowOff>
    </xdr:from>
    <xdr:to>
      <xdr:col>9</xdr:col>
      <xdr:colOff>490652</xdr:colOff>
      <xdr:row>182</xdr:row>
      <xdr:rowOff>28575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2450" y="28013404"/>
          <a:ext cx="5424602" cy="84734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191</xdr:row>
      <xdr:rowOff>0</xdr:rowOff>
    </xdr:from>
    <xdr:to>
      <xdr:col>15</xdr:col>
      <xdr:colOff>396713</xdr:colOff>
      <xdr:row>200</xdr:row>
      <xdr:rowOff>57439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86325" y="30660975"/>
          <a:ext cx="4654388" cy="18100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204</xdr:row>
      <xdr:rowOff>190499</xdr:rowOff>
    </xdr:from>
    <xdr:to>
      <xdr:col>15</xdr:col>
      <xdr:colOff>109605</xdr:colOff>
      <xdr:row>216</xdr:row>
      <xdr:rowOff>66674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876800" y="33366074"/>
          <a:ext cx="437680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552449</xdr:colOff>
      <xdr:row>220</xdr:row>
      <xdr:rowOff>85725</xdr:rowOff>
    </xdr:from>
    <xdr:to>
      <xdr:col>8</xdr:col>
      <xdr:colOff>53920</xdr:colOff>
      <xdr:row>233</xdr:row>
      <xdr:rowOff>28575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52449" y="36347400"/>
          <a:ext cx="4378271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76200</xdr:rowOff>
    </xdr:from>
    <xdr:to>
      <xdr:col>12</xdr:col>
      <xdr:colOff>162884</xdr:colOff>
      <xdr:row>272</xdr:row>
      <xdr:rowOff>29074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600" y="42652950"/>
          <a:ext cx="6868484" cy="35723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17</xdr:col>
      <xdr:colOff>1</xdr:colOff>
      <xdr:row>251</xdr:row>
      <xdr:rowOff>124287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9601" y="39690675"/>
          <a:ext cx="9753600" cy="2638887"/>
        </a:xfrm>
        <a:prstGeom prst="rect">
          <a:avLst/>
        </a:prstGeom>
      </xdr:spPr>
    </xdr:pic>
    <xdr:clientData/>
  </xdr:twoCellAnchor>
  <xdr:twoCellAnchor editAs="oneCell">
    <xdr:from>
      <xdr:col>20</xdr:col>
      <xdr:colOff>428625</xdr:colOff>
      <xdr:row>257</xdr:row>
      <xdr:rowOff>85725</xdr:rowOff>
    </xdr:from>
    <xdr:to>
      <xdr:col>21</xdr:col>
      <xdr:colOff>209550</xdr:colOff>
      <xdr:row>258</xdr:row>
      <xdr:rowOff>19095</xdr:rowOff>
    </xdr:to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620625" y="43434000"/>
          <a:ext cx="390525" cy="12387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257</xdr:row>
      <xdr:rowOff>57151</xdr:rowOff>
    </xdr:from>
    <xdr:to>
      <xdr:col>10</xdr:col>
      <xdr:colOff>190577</xdr:colOff>
      <xdr:row>258</xdr:row>
      <xdr:rowOff>95251</xdr:rowOff>
    </xdr:to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734050" y="43405426"/>
          <a:ext cx="552527" cy="228600"/>
        </a:xfrm>
        <a:prstGeom prst="rect">
          <a:avLst/>
        </a:prstGeom>
      </xdr:spPr>
    </xdr:pic>
    <xdr:clientData/>
  </xdr:twoCellAnchor>
  <xdr:twoCellAnchor editAs="oneCell">
    <xdr:from>
      <xdr:col>20</xdr:col>
      <xdr:colOff>323850</xdr:colOff>
      <xdr:row>257</xdr:row>
      <xdr:rowOff>66675</xdr:rowOff>
    </xdr:from>
    <xdr:to>
      <xdr:col>21</xdr:col>
      <xdr:colOff>299038</xdr:colOff>
      <xdr:row>258</xdr:row>
      <xdr:rowOff>47713</xdr:rowOff>
    </xdr:to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515850" y="43414950"/>
          <a:ext cx="584788" cy="171538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257</xdr:row>
      <xdr:rowOff>78251</xdr:rowOff>
    </xdr:from>
    <xdr:to>
      <xdr:col>10</xdr:col>
      <xdr:colOff>247650</xdr:colOff>
      <xdr:row>258</xdr:row>
      <xdr:rowOff>38161</xdr:rowOff>
    </xdr:to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686425" y="43426526"/>
          <a:ext cx="657225" cy="1504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123825</xdr:rowOff>
    </xdr:from>
    <xdr:to>
      <xdr:col>12</xdr:col>
      <xdr:colOff>181936</xdr:colOff>
      <xdr:row>12</xdr:row>
      <xdr:rowOff>66965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09600" y="314325"/>
          <a:ext cx="6887536" cy="20767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66675</xdr:rowOff>
    </xdr:from>
    <xdr:to>
      <xdr:col>12</xdr:col>
      <xdr:colOff>96199</xdr:colOff>
      <xdr:row>22</xdr:row>
      <xdr:rowOff>38287</xdr:rowOff>
    </xdr:to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9600" y="3524250"/>
          <a:ext cx="6801799" cy="13432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24</xdr:row>
      <xdr:rowOff>76200</xdr:rowOff>
    </xdr:from>
    <xdr:to>
      <xdr:col>12</xdr:col>
      <xdr:colOff>210513</xdr:colOff>
      <xdr:row>29</xdr:row>
      <xdr:rowOff>152549</xdr:rowOff>
    </xdr:to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28650" y="5248275"/>
          <a:ext cx="6897063" cy="1066949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42</xdr:row>
      <xdr:rowOff>0</xdr:rowOff>
    </xdr:from>
    <xdr:to>
      <xdr:col>46</xdr:col>
      <xdr:colOff>153357</xdr:colOff>
      <xdr:row>93</xdr:row>
      <xdr:rowOff>134730</xdr:rowOff>
    </xdr:to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336000" y="8820150"/>
          <a:ext cx="6858957" cy="98883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40"/>
  <sheetViews>
    <sheetView tabSelected="1" workbookViewId="0"/>
  </sheetViews>
  <sheetFormatPr defaultRowHeight="15" x14ac:dyDescent="0.25"/>
  <sheetData>
    <row r="2" spans="2:21" x14ac:dyDescent="0.25">
      <c r="B2" s="2" t="s">
        <v>98</v>
      </c>
      <c r="C2" s="2"/>
      <c r="D2" s="2" t="s">
        <v>99</v>
      </c>
      <c r="E2" s="2"/>
    </row>
    <row r="4" spans="2:21" ht="18" x14ac:dyDescent="0.35">
      <c r="B4" t="s">
        <v>100</v>
      </c>
      <c r="H4" s="39" t="s">
        <v>95</v>
      </c>
      <c r="I4" s="40" t="s">
        <v>19</v>
      </c>
      <c r="J4" s="41"/>
      <c r="K4" s="41">
        <v>50</v>
      </c>
      <c r="L4" s="43" t="s">
        <v>45</v>
      </c>
      <c r="M4" s="41"/>
      <c r="N4" s="44" t="s">
        <v>46</v>
      </c>
      <c r="O4" s="45">
        <f>K4*1000/3600</f>
        <v>13.888888888888889</v>
      </c>
      <c r="P4" s="42" t="s">
        <v>47</v>
      </c>
    </row>
    <row r="6" spans="2:21" x14ac:dyDescent="0.25">
      <c r="B6" t="s">
        <v>101</v>
      </c>
      <c r="H6" s="57" t="s">
        <v>105</v>
      </c>
      <c r="I6" s="58" t="s">
        <v>19</v>
      </c>
      <c r="J6" s="59"/>
      <c r="K6" s="59">
        <f>'trasa w planie - H aligment'!E45</f>
        <v>36.048083226415599</v>
      </c>
      <c r="L6" s="59" t="s">
        <v>26</v>
      </c>
      <c r="M6" s="59"/>
      <c r="N6" s="60" t="s">
        <v>46</v>
      </c>
      <c r="O6" s="61">
        <f>RADIANS(K6)</f>
        <v>0.62915774133389279</v>
      </c>
      <c r="P6" s="62" t="s">
        <v>102</v>
      </c>
      <c r="R6" s="52"/>
      <c r="S6" s="48"/>
      <c r="T6" s="48"/>
      <c r="U6" s="48"/>
    </row>
    <row r="7" spans="2:21" x14ac:dyDescent="0.25">
      <c r="R7" s="48"/>
      <c r="S7" s="48"/>
      <c r="T7" s="48"/>
      <c r="U7" s="48"/>
    </row>
    <row r="8" spans="2:21" x14ac:dyDescent="0.25">
      <c r="H8" t="s">
        <v>113</v>
      </c>
      <c r="R8" s="48"/>
      <c r="S8" s="48"/>
      <c r="T8" s="48"/>
      <c r="U8" s="48"/>
    </row>
    <row r="9" spans="2:21" x14ac:dyDescent="0.25">
      <c r="R9" s="48"/>
      <c r="S9" s="48"/>
      <c r="T9" s="48"/>
      <c r="U9" s="48"/>
    </row>
    <row r="10" spans="2:21" x14ac:dyDescent="0.25">
      <c r="H10" s="49" t="s">
        <v>105</v>
      </c>
      <c r="I10" s="40" t="s">
        <v>19</v>
      </c>
      <c r="J10" s="41"/>
      <c r="K10" s="50">
        <v>51.633049999999997</v>
      </c>
      <c r="L10" s="41" t="s">
        <v>26</v>
      </c>
      <c r="M10" s="41"/>
      <c r="N10" s="44" t="s">
        <v>46</v>
      </c>
      <c r="O10" s="50">
        <f>RADIANS(K10)</f>
        <v>0.90116672534685816</v>
      </c>
      <c r="P10" s="42" t="s">
        <v>102</v>
      </c>
      <c r="R10" s="51" t="str">
        <f>IF(K10&lt;9,"POPRAW-CHANGE","OK")</f>
        <v>OK</v>
      </c>
      <c r="S10" s="48"/>
      <c r="T10" s="48"/>
      <c r="U10" s="48"/>
    </row>
    <row r="12" spans="2:21" x14ac:dyDescent="0.25">
      <c r="B12" t="s">
        <v>103</v>
      </c>
      <c r="H12" s="49" t="s">
        <v>35</v>
      </c>
      <c r="I12" s="40" t="s">
        <v>19</v>
      </c>
      <c r="J12" s="41"/>
      <c r="K12" s="41">
        <v>930</v>
      </c>
      <c r="L12" s="42" t="s">
        <v>8</v>
      </c>
      <c r="N12" s="51"/>
    </row>
    <row r="14" spans="2:21" x14ac:dyDescent="0.25">
      <c r="B14" t="s">
        <v>67</v>
      </c>
    </row>
    <row r="15" spans="2:21" x14ac:dyDescent="0.25">
      <c r="P15" t="s">
        <v>91</v>
      </c>
    </row>
    <row r="17" spans="2:16" x14ac:dyDescent="0.25">
      <c r="P17" s="9" t="s">
        <v>68</v>
      </c>
    </row>
    <row r="19" spans="2:16" x14ac:dyDescent="0.25">
      <c r="P19" s="13" t="s">
        <v>69</v>
      </c>
    </row>
    <row r="21" spans="2:16" x14ac:dyDescent="0.25">
      <c r="P21" s="13" t="s">
        <v>70</v>
      </c>
    </row>
    <row r="25" spans="2:16" x14ac:dyDescent="0.25">
      <c r="B25" t="s">
        <v>104</v>
      </c>
      <c r="H25" s="73" t="s">
        <v>0</v>
      </c>
      <c r="I25" s="74" t="s">
        <v>19</v>
      </c>
      <c r="J25" s="75"/>
      <c r="K25" s="75">
        <f>'łuki poziome - H curve'!E90</f>
        <v>520</v>
      </c>
      <c r="L25" s="76" t="s">
        <v>8</v>
      </c>
      <c r="M25" s="53"/>
      <c r="N25" s="55"/>
      <c r="O25" s="56"/>
      <c r="P25" s="54"/>
    </row>
    <row r="26" spans="2:16" x14ac:dyDescent="0.25">
      <c r="L26" s="46"/>
    </row>
    <row r="27" spans="2:16" x14ac:dyDescent="0.25">
      <c r="H27" t="s">
        <v>113</v>
      </c>
      <c r="L27" s="46"/>
    </row>
    <row r="28" spans="2:16" x14ac:dyDescent="0.25">
      <c r="L28" s="46"/>
    </row>
    <row r="29" spans="2:16" x14ac:dyDescent="0.25">
      <c r="H29" s="49" t="s">
        <v>0</v>
      </c>
      <c r="I29" s="40" t="s">
        <v>19</v>
      </c>
      <c r="J29" s="41"/>
      <c r="K29" s="45">
        <v>520</v>
      </c>
      <c r="L29" s="42" t="s">
        <v>8</v>
      </c>
      <c r="M29" s="53"/>
      <c r="N29" s="55"/>
      <c r="O29" s="56"/>
      <c r="P29" s="54"/>
    </row>
    <row r="31" spans="2:16" x14ac:dyDescent="0.25">
      <c r="B31" t="s">
        <v>112</v>
      </c>
      <c r="H31" s="39" t="s">
        <v>88</v>
      </c>
      <c r="I31" s="40" t="s">
        <v>19</v>
      </c>
      <c r="J31" s="41"/>
      <c r="K31" s="41">
        <v>4</v>
      </c>
      <c r="L31" s="42" t="s">
        <v>41</v>
      </c>
    </row>
    <row r="32" spans="2:16" x14ac:dyDescent="0.25">
      <c r="I32" s="1"/>
    </row>
    <row r="34" spans="8:8" x14ac:dyDescent="0.25">
      <c r="H34" s="1"/>
    </row>
    <row r="35" spans="8:8" x14ac:dyDescent="0.25">
      <c r="H35" s="1"/>
    </row>
    <row r="36" spans="8:8" x14ac:dyDescent="0.25">
      <c r="H36" s="1"/>
    </row>
    <row r="37" spans="8:8" x14ac:dyDescent="0.25">
      <c r="H37" s="1"/>
    </row>
    <row r="38" spans="8:8" x14ac:dyDescent="0.25">
      <c r="H38" s="1"/>
    </row>
    <row r="39" spans="8:8" x14ac:dyDescent="0.25">
      <c r="H39" s="1"/>
    </row>
    <row r="40" spans="8:8" x14ac:dyDescent="0.25">
      <c r="H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75"/>
  <sheetViews>
    <sheetView workbookViewId="0"/>
  </sheetViews>
  <sheetFormatPr defaultRowHeight="15" x14ac:dyDescent="0.25"/>
  <cols>
    <col min="5" max="5" width="10.5703125" bestFit="1" customWidth="1"/>
    <col min="8" max="8" width="9.85546875" bestFit="1" customWidth="1"/>
    <col min="11" max="11" width="10.5703125" bestFit="1" customWidth="1"/>
    <col min="12" max="12" width="10.7109375" customWidth="1"/>
  </cols>
  <sheetData>
    <row r="3" spans="2:12" x14ac:dyDescent="0.25">
      <c r="B3" s="2" t="s">
        <v>2</v>
      </c>
      <c r="C3" s="2"/>
      <c r="D3" s="2"/>
      <c r="E3" s="2"/>
      <c r="F3" s="2"/>
    </row>
    <row r="4" spans="2:12" x14ac:dyDescent="0.25">
      <c r="B4" s="2" t="s">
        <v>3</v>
      </c>
      <c r="C4" s="2"/>
      <c r="D4" s="2"/>
      <c r="E4" s="2"/>
      <c r="F4" s="2"/>
    </row>
    <row r="7" spans="2:12" x14ac:dyDescent="0.25">
      <c r="B7" t="s">
        <v>4</v>
      </c>
    </row>
    <row r="8" spans="2:12" x14ac:dyDescent="0.25">
      <c r="B8" t="s">
        <v>5</v>
      </c>
    </row>
    <row r="13" spans="2:12" ht="18" x14ac:dyDescent="0.35">
      <c r="B13" t="s">
        <v>6</v>
      </c>
      <c r="D13" t="s">
        <v>7</v>
      </c>
      <c r="E13" s="4">
        <v>334.59840000000003</v>
      </c>
      <c r="F13" t="s">
        <v>8</v>
      </c>
      <c r="H13" t="s">
        <v>9</v>
      </c>
      <c r="J13" t="s">
        <v>10</v>
      </c>
      <c r="K13" s="4">
        <f>E16</f>
        <v>1287.0612000000001</v>
      </c>
      <c r="L13" t="s">
        <v>8</v>
      </c>
    </row>
    <row r="14" spans="2:12" ht="18" x14ac:dyDescent="0.35">
      <c r="D14" t="s">
        <v>11</v>
      </c>
      <c r="E14" s="4">
        <v>114.9181</v>
      </c>
      <c r="F14" t="s">
        <v>8</v>
      </c>
      <c r="J14" t="s">
        <v>12</v>
      </c>
      <c r="K14" s="4">
        <f>E17</f>
        <v>447.14609999999999</v>
      </c>
      <c r="L14" t="s">
        <v>8</v>
      </c>
    </row>
    <row r="16" spans="2:12" ht="18" x14ac:dyDescent="0.35">
      <c r="B16" t="s">
        <v>9</v>
      </c>
      <c r="D16" t="s">
        <v>10</v>
      </c>
      <c r="E16" s="4">
        <v>1287.0612000000001</v>
      </c>
      <c r="F16" t="s">
        <v>8</v>
      </c>
      <c r="H16" t="s">
        <v>13</v>
      </c>
      <c r="J16" t="s">
        <v>14</v>
      </c>
      <c r="K16" s="4">
        <v>1719.4268</v>
      </c>
      <c r="L16" t="s">
        <v>8</v>
      </c>
    </row>
    <row r="17" spans="2:13" ht="18" x14ac:dyDescent="0.35">
      <c r="D17" t="s">
        <v>12</v>
      </c>
      <c r="E17" s="4">
        <v>447.14609999999999</v>
      </c>
      <c r="F17" t="s">
        <v>8</v>
      </c>
      <c r="J17" t="s">
        <v>15</v>
      </c>
      <c r="K17" s="4">
        <v>1071.0338999999999</v>
      </c>
      <c r="L17" t="s">
        <v>8</v>
      </c>
    </row>
    <row r="19" spans="2:13" x14ac:dyDescent="0.25">
      <c r="B19" t="s">
        <v>16</v>
      </c>
      <c r="H19" t="s">
        <v>17</v>
      </c>
    </row>
    <row r="20" spans="2:13" x14ac:dyDescent="0.25">
      <c r="B20" t="s">
        <v>18</v>
      </c>
      <c r="D20" s="3" t="s">
        <v>19</v>
      </c>
      <c r="E20" s="4">
        <f>SQRT(((E16-E13)^2)+((E17-E14)^2))</f>
        <v>1008.74220163917</v>
      </c>
      <c r="F20" t="s">
        <v>8</v>
      </c>
      <c r="H20" t="s">
        <v>20</v>
      </c>
      <c r="J20" s="3" t="s">
        <v>19</v>
      </c>
      <c r="K20" s="4">
        <f>SQRT(((K16-K13)^2)+((K17-K14)^2))</f>
        <v>759.06257914100854</v>
      </c>
      <c r="L20" t="s">
        <v>8</v>
      </c>
    </row>
    <row r="23" spans="2:13" x14ac:dyDescent="0.25">
      <c r="B23" t="s">
        <v>21</v>
      </c>
    </row>
    <row r="24" spans="2:13" x14ac:dyDescent="0.25">
      <c r="B24" t="s">
        <v>22</v>
      </c>
    </row>
    <row r="27" spans="2:13" ht="18" x14ac:dyDescent="0.35">
      <c r="I27" t="s">
        <v>6</v>
      </c>
      <c r="K27" t="s">
        <v>7</v>
      </c>
      <c r="L27" s="4">
        <f>E13</f>
        <v>334.59840000000003</v>
      </c>
      <c r="M27" t="s">
        <v>8</v>
      </c>
    </row>
    <row r="28" spans="2:13" ht="18" x14ac:dyDescent="0.35">
      <c r="K28" t="s">
        <v>11</v>
      </c>
      <c r="L28" s="4">
        <f>E14</f>
        <v>114.9181</v>
      </c>
      <c r="M28" t="s">
        <v>8</v>
      </c>
    </row>
    <row r="30" spans="2:13" ht="18" x14ac:dyDescent="0.35">
      <c r="I30" t="s">
        <v>13</v>
      </c>
      <c r="K30" t="s">
        <v>14</v>
      </c>
      <c r="L30" s="4">
        <f>K16</f>
        <v>1719.4268</v>
      </c>
      <c r="M30" t="s">
        <v>8</v>
      </c>
    </row>
    <row r="31" spans="2:13" ht="18" x14ac:dyDescent="0.35">
      <c r="K31" t="s">
        <v>15</v>
      </c>
      <c r="L31" s="4">
        <f>K17</f>
        <v>1071.0338999999999</v>
      </c>
      <c r="M31" t="s">
        <v>8</v>
      </c>
    </row>
    <row r="33" spans="2:13" x14ac:dyDescent="0.25">
      <c r="I33" t="s">
        <v>16</v>
      </c>
    </row>
    <row r="34" spans="2:13" x14ac:dyDescent="0.25">
      <c r="I34" t="s">
        <v>23</v>
      </c>
      <c r="K34" s="3" t="s">
        <v>19</v>
      </c>
      <c r="L34" s="4">
        <f>SQRT(((L30-L27)^2)+((L31-L28)^2))</f>
        <v>1682.8271213812188</v>
      </c>
      <c r="M34" t="s">
        <v>8</v>
      </c>
    </row>
    <row r="41" spans="2:13" ht="18" x14ac:dyDescent="0.35">
      <c r="B41" t="s">
        <v>24</v>
      </c>
      <c r="D41" t="s">
        <v>19</v>
      </c>
      <c r="E41" s="5">
        <f>((E20^2)+(K20^2)-(L34^2))/(2*E20*K20)</f>
        <v>-0.80852343392424841</v>
      </c>
    </row>
    <row r="43" spans="2:13" x14ac:dyDescent="0.25">
      <c r="B43" s="14" t="s">
        <v>25</v>
      </c>
      <c r="C43" s="16"/>
      <c r="D43" s="16" t="s">
        <v>19</v>
      </c>
      <c r="E43" s="36">
        <f>DEGREES(ACOS(E41))</f>
        <v>143.9519167735844</v>
      </c>
      <c r="F43" s="37" t="s">
        <v>26</v>
      </c>
    </row>
    <row r="44" spans="2:13" x14ac:dyDescent="0.25">
      <c r="E44" s="4"/>
    </row>
    <row r="45" spans="2:13" ht="18" x14ac:dyDescent="0.35">
      <c r="B45" s="35" t="s">
        <v>92</v>
      </c>
      <c r="C45" s="16"/>
      <c r="D45" s="17" t="s">
        <v>19</v>
      </c>
      <c r="E45" s="36">
        <f>180-E43</f>
        <v>36.048083226415599</v>
      </c>
      <c r="F45" s="37" t="s">
        <v>26</v>
      </c>
      <c r="H45" s="47" t="str">
        <f>IF(E45&lt;9,"POPRAW","OK")</f>
        <v>OK</v>
      </c>
      <c r="J45" s="11" t="s">
        <v>96</v>
      </c>
      <c r="K45" s="11" t="s">
        <v>97</v>
      </c>
    </row>
    <row r="48" spans="2:13" x14ac:dyDescent="0.25">
      <c r="B48" t="s">
        <v>28</v>
      </c>
    </row>
    <row r="49" spans="2:2" x14ac:dyDescent="0.25">
      <c r="B49" t="s">
        <v>29</v>
      </c>
    </row>
    <row r="65" spans="2:6" x14ac:dyDescent="0.25">
      <c r="B65" t="s">
        <v>30</v>
      </c>
    </row>
    <row r="67" spans="2:6" x14ac:dyDescent="0.25">
      <c r="B67" s="14" t="s">
        <v>31</v>
      </c>
      <c r="C67" s="16"/>
      <c r="D67" s="17" t="s">
        <v>19</v>
      </c>
      <c r="E67" s="38">
        <f>SUM(E70:E73)/E75</f>
        <v>52.73989545426258</v>
      </c>
      <c r="F67" s="37" t="s">
        <v>37</v>
      </c>
    </row>
    <row r="70" spans="2:6" ht="18" x14ac:dyDescent="0.35">
      <c r="B70" s="1" t="s">
        <v>27</v>
      </c>
      <c r="D70" s="3" t="s">
        <v>19</v>
      </c>
      <c r="E70" s="6">
        <f>E45</f>
        <v>36.048083226415599</v>
      </c>
      <c r="F70" s="1" t="s">
        <v>26</v>
      </c>
    </row>
    <row r="71" spans="2:6" ht="18" x14ac:dyDescent="0.35">
      <c r="B71" s="1" t="s">
        <v>32</v>
      </c>
      <c r="D71" s="3" t="s">
        <v>19</v>
      </c>
      <c r="E71" s="6">
        <v>40.468400000000003</v>
      </c>
      <c r="F71" s="1" t="s">
        <v>26</v>
      </c>
    </row>
    <row r="72" spans="2:6" ht="18" x14ac:dyDescent="0.35">
      <c r="B72" s="1" t="s">
        <v>33</v>
      </c>
      <c r="D72" s="3" t="s">
        <v>19</v>
      </c>
      <c r="E72" s="6">
        <v>34.516300000000001</v>
      </c>
      <c r="F72" s="1" t="s">
        <v>26</v>
      </c>
    </row>
    <row r="73" spans="2:6" ht="18" x14ac:dyDescent="0.35">
      <c r="B73" s="1" t="s">
        <v>34</v>
      </c>
      <c r="D73" s="3" t="s">
        <v>19</v>
      </c>
      <c r="E73" s="6">
        <v>48.769100000000002</v>
      </c>
      <c r="F73" s="1" t="s">
        <v>26</v>
      </c>
    </row>
    <row r="75" spans="2:6" x14ac:dyDescent="0.25">
      <c r="B75" t="s">
        <v>35</v>
      </c>
      <c r="D75" s="3" t="s">
        <v>19</v>
      </c>
      <c r="E75" s="4">
        <v>3.03</v>
      </c>
      <c r="F75" s="1" t="s">
        <v>36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22"/>
  <sheetViews>
    <sheetView zoomScaleNormal="100" workbookViewId="0"/>
  </sheetViews>
  <sheetFormatPr defaultRowHeight="15" x14ac:dyDescent="0.25"/>
  <cols>
    <col min="3" max="3" width="9.85546875" bestFit="1" customWidth="1"/>
    <col min="4" max="4" width="11.5703125" bestFit="1" customWidth="1"/>
  </cols>
  <sheetData>
    <row r="2" spans="2:28" x14ac:dyDescent="0.25">
      <c r="B2" s="2" t="s">
        <v>77</v>
      </c>
    </row>
    <row r="3" spans="2:28" x14ac:dyDescent="0.25">
      <c r="B3" s="2" t="s">
        <v>78</v>
      </c>
    </row>
    <row r="5" spans="2:28" x14ac:dyDescent="0.25">
      <c r="B5" t="s">
        <v>93</v>
      </c>
      <c r="O5" t="s">
        <v>94</v>
      </c>
      <c r="U5" s="2" t="s">
        <v>294</v>
      </c>
    </row>
    <row r="9" spans="2:28" x14ac:dyDescent="0.25">
      <c r="AB9" s="9" t="s">
        <v>71</v>
      </c>
    </row>
    <row r="11" spans="2:28" x14ac:dyDescent="0.25">
      <c r="AB11" s="3" t="s">
        <v>76</v>
      </c>
    </row>
    <row r="12" spans="2:28" x14ac:dyDescent="0.25">
      <c r="AB12" t="s">
        <v>75</v>
      </c>
    </row>
    <row r="16" spans="2:28" x14ac:dyDescent="0.25">
      <c r="I16" s="1"/>
    </row>
    <row r="28" spans="2:28" ht="17.25" x14ac:dyDescent="0.25">
      <c r="AB28" t="s">
        <v>73</v>
      </c>
    </row>
    <row r="29" spans="2:28" x14ac:dyDescent="0.25">
      <c r="AB29" t="s">
        <v>72</v>
      </c>
    </row>
    <row r="30" spans="2:28" ht="17.25" x14ac:dyDescent="0.25">
      <c r="AB30" t="s">
        <v>74</v>
      </c>
    </row>
    <row r="31" spans="2:28" x14ac:dyDescent="0.25">
      <c r="B31" t="s">
        <v>64</v>
      </c>
    </row>
    <row r="32" spans="2:28" x14ac:dyDescent="0.25">
      <c r="B32" t="s">
        <v>79</v>
      </c>
    </row>
    <row r="33" spans="2:16" ht="18" x14ac:dyDescent="0.35">
      <c r="B33" t="s">
        <v>83</v>
      </c>
    </row>
    <row r="34" spans="2:16" x14ac:dyDescent="0.25">
      <c r="B34" t="s">
        <v>80</v>
      </c>
    </row>
    <row r="35" spans="2:16" x14ac:dyDescent="0.25">
      <c r="B35" t="s">
        <v>81</v>
      </c>
    </row>
    <row r="36" spans="2:16" x14ac:dyDescent="0.25">
      <c r="B36" t="s">
        <v>82</v>
      </c>
    </row>
    <row r="37" spans="2:16" x14ac:dyDescent="0.25">
      <c r="B37" t="s">
        <v>84</v>
      </c>
    </row>
    <row r="38" spans="2:16" x14ac:dyDescent="0.25">
      <c r="B38" t="s">
        <v>85</v>
      </c>
    </row>
    <row r="39" spans="2:16" x14ac:dyDescent="0.25">
      <c r="B39" t="s">
        <v>86</v>
      </c>
    </row>
    <row r="40" spans="2:16" x14ac:dyDescent="0.25">
      <c r="B40" t="s">
        <v>87</v>
      </c>
    </row>
    <row r="43" spans="2:16" ht="18" x14ac:dyDescent="0.35">
      <c r="B43" s="39" t="s">
        <v>95</v>
      </c>
      <c r="C43" s="40" t="s">
        <v>19</v>
      </c>
      <c r="D43" s="41"/>
      <c r="E43" s="41">
        <f>'dane projektowe - design data '!K4</f>
        <v>50</v>
      </c>
      <c r="F43" s="43" t="s">
        <v>45</v>
      </c>
      <c r="G43" s="41"/>
      <c r="H43" s="44" t="s">
        <v>46</v>
      </c>
      <c r="I43" s="45">
        <f>E43*1000/3600</f>
        <v>13.888888888888889</v>
      </c>
      <c r="J43" s="42" t="s">
        <v>47</v>
      </c>
    </row>
    <row r="45" spans="2:16" x14ac:dyDescent="0.25">
      <c r="B45" s="39" t="s">
        <v>88</v>
      </c>
      <c r="C45" s="40" t="s">
        <v>19</v>
      </c>
      <c r="D45" s="41"/>
      <c r="E45" s="41">
        <f>'dane projektowe - design data '!K31</f>
        <v>4</v>
      </c>
      <c r="F45" s="42" t="s">
        <v>41</v>
      </c>
      <c r="G45" s="23"/>
      <c r="H45" s="20"/>
      <c r="I45" s="21"/>
      <c r="J45" s="22"/>
    </row>
    <row r="46" spans="2:16" x14ac:dyDescent="0.25">
      <c r="B46" s="23"/>
      <c r="C46" s="24"/>
      <c r="D46" s="23"/>
      <c r="E46" s="23"/>
      <c r="F46" s="22"/>
      <c r="G46" s="23"/>
      <c r="H46" s="20"/>
      <c r="I46" s="21"/>
      <c r="J46" s="22"/>
    </row>
    <row r="47" spans="2:16" x14ac:dyDescent="0.25">
      <c r="B47" s="25" t="s">
        <v>89</v>
      </c>
      <c r="C47" s="26" t="s">
        <v>19</v>
      </c>
      <c r="D47" s="27"/>
      <c r="E47" s="31">
        <f>IF(E45&lt;=2,0.2,(0.06*E45)-0.02)</f>
        <v>0.22</v>
      </c>
      <c r="F47" s="28"/>
      <c r="G47" s="27"/>
      <c r="H47" s="29"/>
      <c r="I47" s="30"/>
      <c r="J47" s="28"/>
      <c r="K47" s="13"/>
      <c r="L47" s="13"/>
      <c r="M47" s="13"/>
      <c r="N47" s="13"/>
      <c r="O47" s="13"/>
      <c r="P47" s="13"/>
    </row>
    <row r="48" spans="2:16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2:16" x14ac:dyDescent="0.25">
      <c r="B49" s="13" t="s">
        <v>90</v>
      </c>
      <c r="C49" s="32" t="s">
        <v>19</v>
      </c>
      <c r="D49" s="13"/>
      <c r="E49" s="33">
        <f>(-0.124*LOG(E43))+0.8912</f>
        <v>0.6805277194623337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2:16" x14ac:dyDescent="0.25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</row>
    <row r="51" spans="2:16" x14ac:dyDescent="0.25">
      <c r="B51" s="14" t="s">
        <v>0</v>
      </c>
      <c r="C51" s="15" t="s">
        <v>19</v>
      </c>
      <c r="D51" s="16"/>
      <c r="E51" s="18">
        <f>(E43^2)/(127*((0.925*E47*E49)+(0.01*E45)))</f>
        <v>110.28812326547012</v>
      </c>
      <c r="F51" s="19" t="s">
        <v>8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</row>
    <row r="52" spans="2:16" x14ac:dyDescent="0.25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2:16" ht="14.25" customHeight="1" x14ac:dyDescent="0.25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2:16" x14ac:dyDescent="0.25">
      <c r="B54" s="2" t="s">
        <v>60</v>
      </c>
    </row>
    <row r="55" spans="2:16" x14ac:dyDescent="0.25">
      <c r="B55" s="2" t="s">
        <v>61</v>
      </c>
    </row>
    <row r="56" spans="2:16" x14ac:dyDescent="0.25">
      <c r="B56" t="s">
        <v>62</v>
      </c>
    </row>
    <row r="57" spans="2:16" x14ac:dyDescent="0.25">
      <c r="B57" t="s">
        <v>63</v>
      </c>
      <c r="H57" s="2"/>
    </row>
    <row r="64" spans="2:16" x14ac:dyDescent="0.25">
      <c r="I64" t="s">
        <v>64</v>
      </c>
    </row>
    <row r="65" spans="2:14" ht="18" x14ac:dyDescent="0.35">
      <c r="I65" t="s">
        <v>66</v>
      </c>
    </row>
    <row r="66" spans="2:14" x14ac:dyDescent="0.25">
      <c r="I66" s="1" t="s">
        <v>65</v>
      </c>
    </row>
    <row r="67" spans="2:14" x14ac:dyDescent="0.25">
      <c r="I67" s="1"/>
    </row>
    <row r="68" spans="2:14" x14ac:dyDescent="0.25">
      <c r="I68" s="1"/>
    </row>
    <row r="69" spans="2:14" x14ac:dyDescent="0.25">
      <c r="B69" s="49" t="s">
        <v>105</v>
      </c>
      <c r="C69" s="40" t="s">
        <v>19</v>
      </c>
      <c r="D69" s="41"/>
      <c r="E69" s="41">
        <f>'dane projektowe - design data '!K10</f>
        <v>51.633049999999997</v>
      </c>
      <c r="F69" s="41" t="s">
        <v>26</v>
      </c>
      <c r="G69" s="41"/>
      <c r="H69" s="44" t="s">
        <v>46</v>
      </c>
      <c r="I69" s="50">
        <f>RADIANS(E69)</f>
        <v>0.90116672534685816</v>
      </c>
      <c r="J69" s="42" t="s">
        <v>102</v>
      </c>
    </row>
    <row r="70" spans="2:14" x14ac:dyDescent="0.25">
      <c r="I70" s="1"/>
    </row>
    <row r="71" spans="2:14" ht="18" x14ac:dyDescent="0.35">
      <c r="B71" s="68" t="s">
        <v>111</v>
      </c>
      <c r="C71" s="69" t="s">
        <v>19</v>
      </c>
      <c r="D71" s="70"/>
      <c r="E71" s="71">
        <f>2*I43/I69</f>
        <v>30.824238175334472</v>
      </c>
      <c r="F71" s="72" t="s">
        <v>8</v>
      </c>
      <c r="I71" s="1"/>
    </row>
    <row r="72" spans="2:14" x14ac:dyDescent="0.25">
      <c r="I72" s="1"/>
    </row>
    <row r="73" spans="2:14" x14ac:dyDescent="0.25">
      <c r="I73" s="1"/>
    </row>
    <row r="74" spans="2:14" x14ac:dyDescent="0.25">
      <c r="B74" t="s">
        <v>106</v>
      </c>
      <c r="I74" s="1"/>
    </row>
    <row r="75" spans="2:14" x14ac:dyDescent="0.25">
      <c r="B75" t="s">
        <v>107</v>
      </c>
      <c r="I75" s="1"/>
    </row>
    <row r="76" spans="2:14" x14ac:dyDescent="0.25">
      <c r="I76" s="1"/>
    </row>
    <row r="77" spans="2:14" x14ac:dyDescent="0.25">
      <c r="I77" s="1"/>
      <c r="N77" s="9" t="s">
        <v>108</v>
      </c>
    </row>
    <row r="78" spans="2:14" x14ac:dyDescent="0.25">
      <c r="I78" s="1"/>
    </row>
    <row r="79" spans="2:14" x14ac:dyDescent="0.25">
      <c r="I79" s="1"/>
    </row>
    <row r="80" spans="2:14" x14ac:dyDescent="0.25">
      <c r="I80" s="1"/>
    </row>
    <row r="81" spans="2:9" x14ac:dyDescent="0.25">
      <c r="I81" s="1"/>
    </row>
    <row r="82" spans="2:9" x14ac:dyDescent="0.25">
      <c r="I82" s="1"/>
    </row>
    <row r="83" spans="2:9" x14ac:dyDescent="0.25">
      <c r="I83" s="1"/>
    </row>
    <row r="84" spans="2:9" x14ac:dyDescent="0.25">
      <c r="I84" s="1"/>
    </row>
    <row r="85" spans="2:9" ht="18" x14ac:dyDescent="0.35">
      <c r="B85" s="63" t="s">
        <v>111</v>
      </c>
      <c r="C85" s="64" t="s">
        <v>19</v>
      </c>
      <c r="D85" s="65"/>
      <c r="E85" s="66">
        <v>230</v>
      </c>
      <c r="F85" s="67" t="s">
        <v>8</v>
      </c>
      <c r="H85" t="s">
        <v>109</v>
      </c>
      <c r="I85" s="1"/>
    </row>
    <row r="86" spans="2:9" x14ac:dyDescent="0.25">
      <c r="B86" s="23"/>
      <c r="C86" s="24"/>
      <c r="D86" s="23"/>
      <c r="E86" s="21"/>
      <c r="F86" s="22"/>
      <c r="I86" s="1"/>
    </row>
    <row r="87" spans="2:9" x14ac:dyDescent="0.25">
      <c r="B87" s="23"/>
      <c r="C87" s="24"/>
      <c r="D87" s="23"/>
      <c r="E87" s="21"/>
      <c r="F87" s="22"/>
      <c r="I87" s="1"/>
    </row>
    <row r="88" spans="2:9" x14ac:dyDescent="0.25">
      <c r="B88" s="23" t="s">
        <v>110</v>
      </c>
      <c r="C88" s="24"/>
      <c r="D88" s="23"/>
      <c r="E88" s="21"/>
      <c r="F88" s="22"/>
      <c r="I88" s="1"/>
    </row>
    <row r="89" spans="2:9" x14ac:dyDescent="0.25">
      <c r="B89" s="23"/>
      <c r="C89" s="24"/>
      <c r="D89" s="23"/>
      <c r="E89" s="21"/>
      <c r="F89" s="22"/>
      <c r="I89" s="1"/>
    </row>
    <row r="90" spans="2:9" x14ac:dyDescent="0.25">
      <c r="B90" s="14" t="s">
        <v>0</v>
      </c>
      <c r="C90" s="15" t="s">
        <v>19</v>
      </c>
      <c r="D90" s="16"/>
      <c r="E90" s="18">
        <f>'dane projektowe - design data '!K29</f>
        <v>520</v>
      </c>
      <c r="F90" s="19" t="s">
        <v>8</v>
      </c>
      <c r="I90" s="1"/>
    </row>
    <row r="91" spans="2:9" x14ac:dyDescent="0.25">
      <c r="B91" s="23"/>
      <c r="C91" s="24"/>
      <c r="D91" s="23"/>
      <c r="E91" s="21"/>
      <c r="F91" s="22"/>
      <c r="I91" s="1"/>
    </row>
    <row r="93" spans="2:9" x14ac:dyDescent="0.25">
      <c r="B93" s="2" t="s">
        <v>38</v>
      </c>
    </row>
    <row r="94" spans="2:9" x14ac:dyDescent="0.25">
      <c r="B94" s="2" t="s">
        <v>39</v>
      </c>
    </row>
    <row r="95" spans="2:9" x14ac:dyDescent="0.25">
      <c r="B95" s="2"/>
    </row>
    <row r="96" spans="2:9" x14ac:dyDescent="0.25">
      <c r="B96" t="s">
        <v>114</v>
      </c>
    </row>
    <row r="97" spans="2:27" ht="18" x14ac:dyDescent="0.35">
      <c r="B97" t="s">
        <v>40</v>
      </c>
      <c r="C97" s="4">
        <f>'dane projektowe - design data '!K29</f>
        <v>520</v>
      </c>
      <c r="D97" t="s">
        <v>8</v>
      </c>
      <c r="F97" t="s">
        <v>115</v>
      </c>
      <c r="G97" s="7">
        <f>'dane projektowe - design data '!K31</f>
        <v>4</v>
      </c>
      <c r="H97" t="s">
        <v>41</v>
      </c>
      <c r="J97" s="3" t="s">
        <v>42</v>
      </c>
      <c r="Y97" s="146" t="s">
        <v>283</v>
      </c>
      <c r="Z97" s="147">
        <v>0</v>
      </c>
      <c r="AA97" s="148" t="s">
        <v>45</v>
      </c>
    </row>
    <row r="98" spans="2:27" x14ac:dyDescent="0.25">
      <c r="B98" t="s">
        <v>44</v>
      </c>
      <c r="C98">
        <f>'dane projektowe - design data '!K4</f>
        <v>50</v>
      </c>
      <c r="D98" t="s">
        <v>45</v>
      </c>
      <c r="E98" s="3" t="s">
        <v>46</v>
      </c>
      <c r="F98" s="4">
        <f>(C98*1000/3600)+(Z97*1000/3600)</f>
        <v>13.888888888888889</v>
      </c>
      <c r="G98" t="s">
        <v>47</v>
      </c>
      <c r="I98" s="7"/>
      <c r="J98" s="3" t="s">
        <v>43</v>
      </c>
    </row>
    <row r="99" spans="2:27" x14ac:dyDescent="0.25">
      <c r="I99" s="7"/>
    </row>
    <row r="101" spans="2:27" x14ac:dyDescent="0.25">
      <c r="B101" t="s">
        <v>48</v>
      </c>
    </row>
    <row r="102" spans="2:27" x14ac:dyDescent="0.25">
      <c r="B102" t="s">
        <v>49</v>
      </c>
    </row>
    <row r="103" spans="2:27" x14ac:dyDescent="0.25">
      <c r="Y103" t="s">
        <v>267</v>
      </c>
    </row>
    <row r="104" spans="2:27" x14ac:dyDescent="0.25">
      <c r="Y104" t="s">
        <v>268</v>
      </c>
    </row>
    <row r="105" spans="2:27" ht="18" x14ac:dyDescent="0.35">
      <c r="Y105" t="s">
        <v>269</v>
      </c>
    </row>
    <row r="106" spans="2:27" ht="18" x14ac:dyDescent="0.35">
      <c r="Y106" t="s">
        <v>270</v>
      </c>
    </row>
    <row r="107" spans="2:27" x14ac:dyDescent="0.25">
      <c r="Y107" t="s">
        <v>271</v>
      </c>
    </row>
    <row r="108" spans="2:27" ht="18" x14ac:dyDescent="0.35">
      <c r="Y108" t="s">
        <v>272</v>
      </c>
    </row>
    <row r="109" spans="2:27" ht="18" x14ac:dyDescent="0.35">
      <c r="Y109" t="s">
        <v>273</v>
      </c>
    </row>
    <row r="110" spans="2:27" x14ac:dyDescent="0.25">
      <c r="Y110" t="s">
        <v>274</v>
      </c>
    </row>
    <row r="111" spans="2:27" x14ac:dyDescent="0.25">
      <c r="Y111" t="s">
        <v>275</v>
      </c>
    </row>
    <row r="112" spans="2:27" ht="18" x14ac:dyDescent="0.35">
      <c r="Y112" t="s">
        <v>276</v>
      </c>
    </row>
    <row r="113" spans="2:25" x14ac:dyDescent="0.25">
      <c r="Y113" t="s">
        <v>271</v>
      </c>
    </row>
    <row r="114" spans="2:25" ht="18" x14ac:dyDescent="0.35">
      <c r="Y114" t="s">
        <v>277</v>
      </c>
    </row>
    <row r="115" spans="2:25" ht="18" x14ac:dyDescent="0.35">
      <c r="Y115" t="s">
        <v>273</v>
      </c>
    </row>
    <row r="116" spans="2:25" x14ac:dyDescent="0.25">
      <c r="Y116" t="s">
        <v>278</v>
      </c>
    </row>
    <row r="117" spans="2:25" ht="18" x14ac:dyDescent="0.35">
      <c r="Y117" t="s">
        <v>279</v>
      </c>
    </row>
    <row r="118" spans="2:25" ht="18" x14ac:dyDescent="0.35">
      <c r="M118" s="149" t="s">
        <v>284</v>
      </c>
      <c r="Y118" t="s">
        <v>280</v>
      </c>
    </row>
    <row r="119" spans="2:25" x14ac:dyDescent="0.25">
      <c r="M119" s="91" t="s">
        <v>285</v>
      </c>
      <c r="Y119" t="s">
        <v>271</v>
      </c>
    </row>
    <row r="120" spans="2:25" ht="18" x14ac:dyDescent="0.35">
      <c r="Y120" t="s">
        <v>272</v>
      </c>
    </row>
    <row r="121" spans="2:25" ht="18" x14ac:dyDescent="0.35">
      <c r="B121" s="39" t="s">
        <v>50</v>
      </c>
      <c r="C121" s="45">
        <v>1.5</v>
      </c>
      <c r="D121" s="77" t="s">
        <v>8</v>
      </c>
      <c r="E121" s="34"/>
      <c r="F121" s="39" t="s">
        <v>51</v>
      </c>
      <c r="G121" s="45">
        <v>1.2</v>
      </c>
      <c r="H121" s="77" t="s">
        <v>8</v>
      </c>
      <c r="Y121" t="s">
        <v>281</v>
      </c>
    </row>
    <row r="122" spans="2:25" x14ac:dyDescent="0.25">
      <c r="Y122" t="s">
        <v>282</v>
      </c>
    </row>
    <row r="123" spans="2:25" x14ac:dyDescent="0.25">
      <c r="B123" t="s">
        <v>52</v>
      </c>
      <c r="C123" t="s">
        <v>19</v>
      </c>
      <c r="D123" s="4">
        <f>(F98^2)/(9.81*((C121/(2*G121))+(G97/100)))</f>
        <v>29.569525429460686</v>
      </c>
      <c r="E123" t="s">
        <v>8</v>
      </c>
    </row>
    <row r="126" spans="2:25" x14ac:dyDescent="0.25">
      <c r="B126" t="s">
        <v>53</v>
      </c>
    </row>
    <row r="127" spans="2:25" x14ac:dyDescent="0.25">
      <c r="B127" t="s">
        <v>54</v>
      </c>
    </row>
    <row r="147" spans="2:5" ht="18" x14ac:dyDescent="0.35">
      <c r="B147" s="78" t="s">
        <v>116</v>
      </c>
      <c r="C147" s="77">
        <v>0.2</v>
      </c>
    </row>
    <row r="149" spans="2:5" x14ac:dyDescent="0.25">
      <c r="B149" t="s">
        <v>52</v>
      </c>
      <c r="C149" t="s">
        <v>19</v>
      </c>
      <c r="D149" s="4">
        <f>(F98^2)/(9.81*(C147+(G97/100)))</f>
        <v>81.932226710797309</v>
      </c>
      <c r="E149" t="s">
        <v>8</v>
      </c>
    </row>
    <row r="150" spans="2:5" x14ac:dyDescent="0.25">
      <c r="D150" s="4"/>
    </row>
    <row r="153" spans="2:5" x14ac:dyDescent="0.25">
      <c r="B153" t="s">
        <v>55</v>
      </c>
    </row>
    <row r="154" spans="2:5" x14ac:dyDescent="0.25">
      <c r="B154" t="s">
        <v>56</v>
      </c>
    </row>
    <row r="176" spans="13:13" x14ac:dyDescent="0.25">
      <c r="M176" s="149" t="s">
        <v>284</v>
      </c>
    </row>
    <row r="177" spans="2:13" x14ac:dyDescent="0.25">
      <c r="M177" s="91" t="s">
        <v>285</v>
      </c>
    </row>
    <row r="178" spans="2:13" x14ac:dyDescent="0.25">
      <c r="B178" s="78" t="s">
        <v>117</v>
      </c>
      <c r="C178" s="41">
        <v>0.06</v>
      </c>
      <c r="D178" s="79"/>
    </row>
    <row r="180" spans="2:13" x14ac:dyDescent="0.25">
      <c r="B180" t="s">
        <v>52</v>
      </c>
      <c r="C180" t="s">
        <v>19</v>
      </c>
      <c r="D180" s="4">
        <f>(F98^2)/(9.81*(C178+(G97/100)))</f>
        <v>196.63734410591357</v>
      </c>
      <c r="E180" t="s">
        <v>8</v>
      </c>
    </row>
    <row r="193" spans="2:13" x14ac:dyDescent="0.25">
      <c r="B193" s="83" t="s">
        <v>0</v>
      </c>
      <c r="C193" s="84"/>
      <c r="D193" s="84" t="s">
        <v>57</v>
      </c>
      <c r="E193" s="84"/>
      <c r="F193" s="84" t="s">
        <v>58</v>
      </c>
      <c r="G193" s="84"/>
      <c r="H193" s="84" t="s">
        <v>59</v>
      </c>
      <c r="I193" s="85"/>
      <c r="J193" s="80"/>
      <c r="K193" s="81"/>
    </row>
    <row r="194" spans="2:13" x14ac:dyDescent="0.25">
      <c r="B194" s="86">
        <f>C97</f>
        <v>520</v>
      </c>
      <c r="C194" s="87" t="s">
        <v>8</v>
      </c>
      <c r="D194" s="88">
        <f>D123</f>
        <v>29.569525429460686</v>
      </c>
      <c r="E194" s="87" t="s">
        <v>8</v>
      </c>
      <c r="F194" s="88">
        <f>D149</f>
        <v>81.932226710797309</v>
      </c>
      <c r="G194" s="87" t="s">
        <v>8</v>
      </c>
      <c r="H194" s="88">
        <f>D180</f>
        <v>196.63734410591357</v>
      </c>
      <c r="I194" s="89" t="s">
        <v>8</v>
      </c>
      <c r="J194" s="82"/>
      <c r="K194" s="90" t="str">
        <f>IF(OR(D194&gt;B194,F194&gt;B194,H194&gt;B194),"POPRAW-CHANGE","OK")</f>
        <v>OK</v>
      </c>
    </row>
    <row r="196" spans="2:13" x14ac:dyDescent="0.25">
      <c r="B196" s="10"/>
      <c r="C196" s="11"/>
      <c r="D196" s="10"/>
      <c r="E196" s="11"/>
    </row>
    <row r="197" spans="2:13" x14ac:dyDescent="0.25">
      <c r="B197" s="12"/>
      <c r="C197" s="11"/>
      <c r="D197" s="12"/>
      <c r="E197" s="11"/>
    </row>
    <row r="198" spans="2:13" x14ac:dyDescent="0.25">
      <c r="B198" s="2" t="s">
        <v>128</v>
      </c>
      <c r="C198" s="2"/>
      <c r="D198" s="2"/>
      <c r="E198" s="2"/>
      <c r="M198" s="2" t="s">
        <v>129</v>
      </c>
    </row>
    <row r="200" spans="2:13" x14ac:dyDescent="0.25">
      <c r="B200" t="s">
        <v>130</v>
      </c>
      <c r="M200" t="s">
        <v>131</v>
      </c>
    </row>
    <row r="202" spans="2:13" x14ac:dyDescent="0.25">
      <c r="B202" s="39" t="s">
        <v>132</v>
      </c>
      <c r="C202" s="43">
        <v>980</v>
      </c>
      <c r="D202" s="77" t="s">
        <v>8</v>
      </c>
      <c r="F202" s="91"/>
    </row>
    <row r="204" spans="2:13" x14ac:dyDescent="0.25">
      <c r="B204" s="81" t="str">
        <f>IF(C202&lt;500,IF(E90&gt;=C202,"OK","ZWIĘKSZ PROMIEŃ/INCREASE RADIUS"),IF(E90&gt;500,"OK","ZWIĘKSZ PROMIEŃ/INCREASE RADIUS"))</f>
        <v>OK</v>
      </c>
    </row>
    <row r="207" spans="2:13" x14ac:dyDescent="0.25">
      <c r="B207" s="2" t="s">
        <v>120</v>
      </c>
      <c r="C207" s="2"/>
      <c r="D207" s="2"/>
      <c r="E207" s="2"/>
      <c r="M207" s="2" t="s">
        <v>121</v>
      </c>
    </row>
    <row r="208" spans="2:13" x14ac:dyDescent="0.25">
      <c r="C208" s="2"/>
      <c r="D208" s="2"/>
      <c r="E208" s="2"/>
    </row>
    <row r="209" spans="2:23" x14ac:dyDescent="0.25">
      <c r="B209" t="s">
        <v>122</v>
      </c>
      <c r="C209" s="2"/>
      <c r="D209" s="2"/>
      <c r="E209" s="2"/>
      <c r="G209" t="s">
        <v>123</v>
      </c>
    </row>
    <row r="210" spans="2:23" x14ac:dyDescent="0.25">
      <c r="C210" s="2"/>
      <c r="D210" s="2"/>
      <c r="E210" s="2"/>
    </row>
    <row r="211" spans="2:23" x14ac:dyDescent="0.25">
      <c r="B211" s="39" t="s">
        <v>118</v>
      </c>
      <c r="C211" s="43">
        <v>300</v>
      </c>
      <c r="D211" s="77" t="s">
        <v>8</v>
      </c>
    </row>
    <row r="212" spans="2:23" x14ac:dyDescent="0.25">
      <c r="B212" s="91"/>
      <c r="C212" s="92"/>
      <c r="D212" s="91"/>
    </row>
    <row r="213" spans="2:23" x14ac:dyDescent="0.25">
      <c r="B213" s="39" t="s">
        <v>119</v>
      </c>
      <c r="C213" s="43">
        <v>400</v>
      </c>
      <c r="D213" s="77" t="s">
        <v>8</v>
      </c>
    </row>
    <row r="215" spans="2:23" x14ac:dyDescent="0.25">
      <c r="B215" s="93" t="s">
        <v>124</v>
      </c>
      <c r="C215" s="94" t="s">
        <v>19</v>
      </c>
      <c r="D215" s="95">
        <f>IF(C213&gt;C211,(C213/C211),(C211,C213))</f>
        <v>1.3333333333333333</v>
      </c>
    </row>
    <row r="218" spans="2:23" x14ac:dyDescent="0.25">
      <c r="N218" s="81" t="s">
        <v>127</v>
      </c>
    </row>
    <row r="220" spans="2:23" x14ac:dyDescent="0.25">
      <c r="N220" t="s">
        <v>125</v>
      </c>
    </row>
    <row r="221" spans="2:23" x14ac:dyDescent="0.25">
      <c r="N221" t="s">
        <v>126</v>
      </c>
      <c r="W221" t="s">
        <v>286</v>
      </c>
    </row>
    <row r="225" spans="2:21" x14ac:dyDescent="0.25">
      <c r="B225" s="2" t="s">
        <v>173</v>
      </c>
      <c r="M225" s="2" t="s">
        <v>172</v>
      </c>
    </row>
    <row r="228" spans="2:21" x14ac:dyDescent="0.25">
      <c r="N228" s="9" t="s">
        <v>174</v>
      </c>
    </row>
    <row r="230" spans="2:21" x14ac:dyDescent="0.25">
      <c r="O230" t="s">
        <v>175</v>
      </c>
    </row>
    <row r="231" spans="2:21" x14ac:dyDescent="0.25">
      <c r="N231" t="s">
        <v>176</v>
      </c>
      <c r="Q231" t="s">
        <v>183</v>
      </c>
      <c r="S231" t="s">
        <v>184</v>
      </c>
      <c r="U231" t="s">
        <v>185</v>
      </c>
    </row>
    <row r="232" spans="2:21" x14ac:dyDescent="0.25">
      <c r="N232" t="s">
        <v>177</v>
      </c>
    </row>
    <row r="233" spans="2:21" x14ac:dyDescent="0.25">
      <c r="N233" t="s">
        <v>178</v>
      </c>
    </row>
    <row r="234" spans="2:21" x14ac:dyDescent="0.25">
      <c r="N234" t="s">
        <v>179</v>
      </c>
    </row>
    <row r="235" spans="2:21" x14ac:dyDescent="0.25">
      <c r="N235" t="s">
        <v>180</v>
      </c>
    </row>
    <row r="236" spans="2:21" x14ac:dyDescent="0.25">
      <c r="N236" t="s">
        <v>181</v>
      </c>
    </row>
    <row r="238" spans="2:21" ht="17.25" x14ac:dyDescent="0.25">
      <c r="N238" t="s">
        <v>182</v>
      </c>
    </row>
    <row r="241" spans="2:6" x14ac:dyDescent="0.25">
      <c r="B241" t="s">
        <v>40</v>
      </c>
      <c r="C241" s="4">
        <f>C97</f>
        <v>520</v>
      </c>
      <c r="D241" t="s">
        <v>8</v>
      </c>
    </row>
    <row r="243" spans="2:6" x14ac:dyDescent="0.25">
      <c r="B243" s="39" t="s">
        <v>187</v>
      </c>
      <c r="C243" s="41"/>
      <c r="D243" s="41"/>
      <c r="E243" s="41"/>
      <c r="F243" s="77">
        <v>60</v>
      </c>
    </row>
    <row r="245" spans="2:6" x14ac:dyDescent="0.25">
      <c r="B245" s="110" t="s">
        <v>186</v>
      </c>
      <c r="C245" s="111">
        <f>MROUND(F243/C241,0.05)</f>
        <v>0.1</v>
      </c>
      <c r="D245" s="112" t="s">
        <v>8</v>
      </c>
      <c r="F245" s="81" t="str">
        <f>IF(C245&lt;0.2,"BRAK POSZERZENIA/WITHOUT LINE WIDENING","POSZERZENIE/ LINIE WIDENING")</f>
        <v>BRAK POSZERZENIA/WITHOUT LINE WIDENING</v>
      </c>
    </row>
    <row r="249" spans="2:6" ht="18.75" x14ac:dyDescent="0.3">
      <c r="B249" s="97" t="s">
        <v>154</v>
      </c>
    </row>
    <row r="252" spans="2:6" x14ac:dyDescent="0.25">
      <c r="B252" s="2" t="s">
        <v>133</v>
      </c>
    </row>
    <row r="253" spans="2:6" x14ac:dyDescent="0.25">
      <c r="B253" s="2" t="s">
        <v>134</v>
      </c>
    </row>
    <row r="255" spans="2:6" x14ac:dyDescent="0.25">
      <c r="B255" t="s">
        <v>135</v>
      </c>
    </row>
    <row r="256" spans="2:6" x14ac:dyDescent="0.25">
      <c r="B256" t="s">
        <v>136</v>
      </c>
    </row>
    <row r="271" spans="15:15" x14ac:dyDescent="0.25">
      <c r="O271" s="81" t="s">
        <v>155</v>
      </c>
    </row>
    <row r="275" spans="2:15" ht="17.25" x14ac:dyDescent="0.25">
      <c r="O275" t="s">
        <v>156</v>
      </c>
    </row>
    <row r="278" spans="2:15" ht="17.25" x14ac:dyDescent="0.25">
      <c r="B278" s="39" t="s">
        <v>137</v>
      </c>
      <c r="C278" s="41">
        <v>0.7</v>
      </c>
      <c r="D278" s="77" t="s">
        <v>161</v>
      </c>
    </row>
    <row r="280" spans="2:15" ht="18" x14ac:dyDescent="0.35">
      <c r="B280" s="93" t="s">
        <v>162</v>
      </c>
      <c r="C280" s="99">
        <f>SQRT((I43^3)/C278)</f>
        <v>61.866028220468614</v>
      </c>
      <c r="D280" s="100" t="s">
        <v>8</v>
      </c>
    </row>
    <row r="283" spans="2:15" x14ac:dyDescent="0.25">
      <c r="B283" t="s">
        <v>138</v>
      </c>
    </row>
    <row r="284" spans="2:15" x14ac:dyDescent="0.25">
      <c r="B284" t="s">
        <v>139</v>
      </c>
    </row>
    <row r="292" spans="2:4" ht="18" x14ac:dyDescent="0.35">
      <c r="B292" s="93" t="s">
        <v>162</v>
      </c>
      <c r="C292" s="99">
        <f>(1/3)*C97</f>
        <v>173.33333333333331</v>
      </c>
      <c r="D292" s="100" t="s">
        <v>8</v>
      </c>
    </row>
    <row r="294" spans="2:4" ht="18" x14ac:dyDescent="0.35">
      <c r="B294" s="93" t="s">
        <v>163</v>
      </c>
      <c r="C294" s="99">
        <f>(C97)</f>
        <v>520</v>
      </c>
      <c r="D294" s="100" t="s">
        <v>8</v>
      </c>
    </row>
    <row r="297" spans="2:4" x14ac:dyDescent="0.25">
      <c r="B297" t="s">
        <v>140</v>
      </c>
    </row>
    <row r="298" spans="2:4" x14ac:dyDescent="0.25">
      <c r="B298" t="s">
        <v>141</v>
      </c>
    </row>
    <row r="318" spans="15:24" x14ac:dyDescent="0.25">
      <c r="S318" t="s">
        <v>157</v>
      </c>
    </row>
    <row r="320" spans="15:24" x14ac:dyDescent="0.25">
      <c r="O320" t="s">
        <v>142</v>
      </c>
      <c r="R320" t="s">
        <v>158</v>
      </c>
      <c r="X320" t="s">
        <v>160</v>
      </c>
    </row>
    <row r="321" spans="2:18" x14ac:dyDescent="0.25">
      <c r="R321" t="s">
        <v>159</v>
      </c>
    </row>
    <row r="322" spans="2:18" x14ac:dyDescent="0.25">
      <c r="P322" s="7"/>
    </row>
    <row r="323" spans="2:18" x14ac:dyDescent="0.25">
      <c r="P323" s="7"/>
    </row>
    <row r="324" spans="2:18" x14ac:dyDescent="0.25">
      <c r="N324" s="96"/>
      <c r="P324" s="7"/>
    </row>
    <row r="325" spans="2:18" x14ac:dyDescent="0.25">
      <c r="P325" s="7"/>
    </row>
    <row r="326" spans="2:18" x14ac:dyDescent="0.25">
      <c r="N326" s="96"/>
      <c r="P326" s="7"/>
    </row>
    <row r="327" spans="2:18" x14ac:dyDescent="0.25">
      <c r="P327" s="7"/>
    </row>
    <row r="328" spans="2:18" x14ac:dyDescent="0.25">
      <c r="N328" s="1"/>
      <c r="O328" t="s">
        <v>143</v>
      </c>
      <c r="P328" s="7"/>
    </row>
    <row r="332" spans="2:18" x14ac:dyDescent="0.25">
      <c r="B332" s="39" t="s">
        <v>1</v>
      </c>
      <c r="C332" s="44" t="s">
        <v>19</v>
      </c>
      <c r="D332" s="45">
        <v>5</v>
      </c>
      <c r="E332" s="77" t="s">
        <v>8</v>
      </c>
    </row>
    <row r="333" spans="2:18" x14ac:dyDescent="0.25">
      <c r="B333" s="53"/>
      <c r="C333" s="55"/>
      <c r="D333" s="101"/>
      <c r="E333" s="53"/>
    </row>
    <row r="334" spans="2:18" ht="18" x14ac:dyDescent="0.35">
      <c r="B334" s="39" t="s">
        <v>164</v>
      </c>
      <c r="C334" s="41" t="s">
        <v>19</v>
      </c>
      <c r="D334" s="102">
        <f>E45</f>
        <v>4</v>
      </c>
      <c r="E334" s="77" t="s">
        <v>41</v>
      </c>
      <c r="F334" s="103" t="s">
        <v>46</v>
      </c>
      <c r="G334">
        <f>D334/100</f>
        <v>0.04</v>
      </c>
    </row>
    <row r="335" spans="2:18" x14ac:dyDescent="0.25">
      <c r="D335" s="7"/>
      <c r="F335" s="103"/>
    </row>
    <row r="336" spans="2:18" ht="18" x14ac:dyDescent="0.35">
      <c r="B336" s="39" t="s">
        <v>165</v>
      </c>
      <c r="C336" s="44" t="s">
        <v>19</v>
      </c>
      <c r="D336" s="102">
        <v>2</v>
      </c>
      <c r="E336" s="77" t="s">
        <v>41</v>
      </c>
      <c r="F336" s="103" t="s">
        <v>46</v>
      </c>
      <c r="G336">
        <f>D336/100</f>
        <v>0.02</v>
      </c>
    </row>
    <row r="337" spans="2:15" x14ac:dyDescent="0.25">
      <c r="F337" s="104"/>
    </row>
    <row r="338" spans="2:15" ht="18" x14ac:dyDescent="0.35">
      <c r="B338" s="39" t="s">
        <v>166</v>
      </c>
      <c r="C338" s="41" t="s">
        <v>19</v>
      </c>
      <c r="D338" s="102">
        <f>0.1*D332/2</f>
        <v>0.25</v>
      </c>
      <c r="E338" s="77" t="s">
        <v>41</v>
      </c>
      <c r="F338" s="103" t="s">
        <v>46</v>
      </c>
      <c r="G338">
        <f>D338/100</f>
        <v>2.5000000000000001E-3</v>
      </c>
      <c r="I338" s="104"/>
      <c r="J338" s="4"/>
      <c r="L338" s="103"/>
      <c r="O338" s="9"/>
    </row>
    <row r="339" spans="2:15" x14ac:dyDescent="0.25">
      <c r="F339" s="104"/>
    </row>
    <row r="340" spans="2:15" ht="18" x14ac:dyDescent="0.35">
      <c r="B340" s="39" t="s">
        <v>167</v>
      </c>
      <c r="C340" s="41" t="s">
        <v>19</v>
      </c>
      <c r="D340" s="102">
        <v>2</v>
      </c>
      <c r="E340" s="77" t="s">
        <v>41</v>
      </c>
      <c r="F340" s="103" t="s">
        <v>46</v>
      </c>
      <c r="G340">
        <f>D340/100</f>
        <v>0.02</v>
      </c>
      <c r="I340" s="48" t="s">
        <v>170</v>
      </c>
    </row>
    <row r="341" spans="2:15" x14ac:dyDescent="0.25">
      <c r="F341" s="104"/>
    </row>
    <row r="342" spans="2:15" ht="18" x14ac:dyDescent="0.35">
      <c r="B342" s="39" t="s">
        <v>168</v>
      </c>
      <c r="C342" s="44" t="s">
        <v>19</v>
      </c>
      <c r="D342" s="102">
        <v>0.9</v>
      </c>
      <c r="E342" s="77" t="s">
        <v>41</v>
      </c>
      <c r="F342" s="103" t="s">
        <v>46</v>
      </c>
      <c r="G342">
        <f>D342/100</f>
        <v>9.0000000000000011E-3</v>
      </c>
    </row>
    <row r="345" spans="2:15" ht="18" x14ac:dyDescent="0.35">
      <c r="B345" s="93" t="s">
        <v>169</v>
      </c>
      <c r="C345" s="94" t="s">
        <v>19</v>
      </c>
      <c r="D345" s="99">
        <f>SQRT((C97*D332/2)*((G336+G334)/G342))</f>
        <v>93.094933625126274</v>
      </c>
      <c r="E345" s="100" t="s">
        <v>8</v>
      </c>
    </row>
    <row r="348" spans="2:15" x14ac:dyDescent="0.25">
      <c r="B348" t="s">
        <v>144</v>
      </c>
    </row>
    <row r="349" spans="2:15" x14ac:dyDescent="0.25">
      <c r="B349" t="s">
        <v>145</v>
      </c>
    </row>
    <row r="358" spans="2:5" ht="18" x14ac:dyDescent="0.35">
      <c r="B358" t="s">
        <v>146</v>
      </c>
      <c r="C358" t="s">
        <v>19</v>
      </c>
      <c r="D358">
        <f>C245</f>
        <v>0.1</v>
      </c>
      <c r="E358" t="s">
        <v>8</v>
      </c>
    </row>
    <row r="360" spans="2:5" ht="18" x14ac:dyDescent="0.35">
      <c r="B360" s="93" t="s">
        <v>169</v>
      </c>
      <c r="C360" s="94" t="s">
        <v>19</v>
      </c>
      <c r="D360" s="99">
        <f>1.86*((C97^3)*(D358))^(1/4)</f>
        <v>113.89783053376846</v>
      </c>
      <c r="E360" s="100" t="s">
        <v>8</v>
      </c>
    </row>
    <row r="363" spans="2:5" x14ac:dyDescent="0.25">
      <c r="B363" t="s">
        <v>147</v>
      </c>
    </row>
    <row r="364" spans="2:5" x14ac:dyDescent="0.25">
      <c r="B364" t="s">
        <v>148</v>
      </c>
    </row>
    <row r="372" spans="2:7" x14ac:dyDescent="0.25">
      <c r="B372" s="1" t="s">
        <v>149</v>
      </c>
      <c r="C372" s="105">
        <f>E69</f>
        <v>51.633049999999997</v>
      </c>
      <c r="D372" s="1" t="s">
        <v>26</v>
      </c>
      <c r="E372" s="3" t="s">
        <v>46</v>
      </c>
      <c r="F372" s="105">
        <f>RADIANS(C372)</f>
        <v>0.90116672534685816</v>
      </c>
      <c r="G372" t="s">
        <v>102</v>
      </c>
    </row>
    <row r="375" spans="2:7" ht="18" x14ac:dyDescent="0.35">
      <c r="B375" s="106" t="s">
        <v>171</v>
      </c>
      <c r="C375" s="99" t="s">
        <v>19</v>
      </c>
      <c r="D375" s="99">
        <f>C97*SQRT(F372)</f>
        <v>493.63496891305266</v>
      </c>
      <c r="E375" s="107" t="s">
        <v>8</v>
      </c>
    </row>
    <row r="379" spans="2:7" x14ac:dyDescent="0.25">
      <c r="B379" t="s">
        <v>150</v>
      </c>
    </row>
    <row r="380" spans="2:7" x14ac:dyDescent="0.25">
      <c r="B380" t="s">
        <v>151</v>
      </c>
    </row>
    <row r="389" spans="2:5" ht="18" x14ac:dyDescent="0.35">
      <c r="B389" s="93" t="s">
        <v>169</v>
      </c>
      <c r="C389" s="94" t="s">
        <v>19</v>
      </c>
      <c r="D389" s="99">
        <f>1.863*C97^(3/4)</f>
        <v>202.86884780063559</v>
      </c>
      <c r="E389" s="100" t="s">
        <v>8</v>
      </c>
    </row>
    <row r="391" spans="2:5" ht="18" x14ac:dyDescent="0.35">
      <c r="B391" s="93" t="s">
        <v>171</v>
      </c>
      <c r="C391" s="94" t="s">
        <v>19</v>
      </c>
      <c r="D391" s="99">
        <f>2.783*C97^(3/4)</f>
        <v>303.05099486267784</v>
      </c>
      <c r="E391" s="100" t="s">
        <v>8</v>
      </c>
    </row>
    <row r="395" spans="2:5" x14ac:dyDescent="0.25">
      <c r="B395" t="s">
        <v>152</v>
      </c>
    </row>
    <row r="396" spans="2:5" x14ac:dyDescent="0.25">
      <c r="B396" t="s">
        <v>153</v>
      </c>
    </row>
    <row r="410" spans="2:7" x14ac:dyDescent="0.25">
      <c r="B410" s="1" t="s">
        <v>149</v>
      </c>
      <c r="C410" s="105">
        <f>E69</f>
        <v>51.633049999999997</v>
      </c>
      <c r="D410" s="1" t="s">
        <v>26</v>
      </c>
      <c r="E410" s="3" t="s">
        <v>46</v>
      </c>
      <c r="F410" s="105">
        <f>RADIANS(C410)</f>
        <v>0.90116672534685816</v>
      </c>
      <c r="G410" t="s">
        <v>102</v>
      </c>
    </row>
    <row r="413" spans="2:7" ht="18" x14ac:dyDescent="0.35">
      <c r="B413" s="106" t="s">
        <v>169</v>
      </c>
      <c r="C413" s="108" t="s">
        <v>19</v>
      </c>
      <c r="D413" s="99">
        <f>C97*SQRT(F410/5)</f>
        <v>220.76026931211624</v>
      </c>
      <c r="E413" s="107" t="s">
        <v>8</v>
      </c>
    </row>
    <row r="414" spans="2:7" x14ac:dyDescent="0.25">
      <c r="D414" s="4"/>
    </row>
    <row r="415" spans="2:7" ht="18" x14ac:dyDescent="0.35">
      <c r="B415" s="93" t="s">
        <v>171</v>
      </c>
      <c r="C415" s="109" t="s">
        <v>19</v>
      </c>
      <c r="D415" s="99">
        <f>C97*SQRT(F410/2)</f>
        <v>349.05263394923008</v>
      </c>
      <c r="E415" s="100" t="s">
        <v>8</v>
      </c>
    </row>
    <row r="448" spans="2:17" ht="18" x14ac:dyDescent="0.35">
      <c r="B448" s="80" t="s">
        <v>0</v>
      </c>
      <c r="C448" s="80"/>
      <c r="D448" s="80" t="s">
        <v>188</v>
      </c>
      <c r="E448" s="80"/>
      <c r="F448" s="80" t="s">
        <v>189</v>
      </c>
      <c r="G448" s="80"/>
      <c r="H448" s="80" t="s">
        <v>190</v>
      </c>
      <c r="I448" s="80"/>
      <c r="J448" s="80" t="s">
        <v>191</v>
      </c>
      <c r="K448" s="80"/>
      <c r="L448" s="80"/>
      <c r="M448" s="80"/>
      <c r="N448" s="80" t="s">
        <v>192</v>
      </c>
      <c r="O448" s="80"/>
      <c r="P448" s="80" t="s">
        <v>193</v>
      </c>
      <c r="Q448" s="81"/>
    </row>
    <row r="449" spans="2:17" x14ac:dyDescent="0.25">
      <c r="B449" s="113">
        <f>C97</f>
        <v>520</v>
      </c>
      <c r="C449" s="114" t="s">
        <v>8</v>
      </c>
      <c r="D449" s="113">
        <f>C280</f>
        <v>61.866028220468614</v>
      </c>
      <c r="E449" s="114" t="s">
        <v>8</v>
      </c>
      <c r="F449" s="113">
        <f>C292</f>
        <v>173.33333333333331</v>
      </c>
      <c r="G449" s="114" t="s">
        <v>8</v>
      </c>
      <c r="H449" s="113">
        <f>D345</f>
        <v>93.094933625126274</v>
      </c>
      <c r="I449" s="114" t="s">
        <v>8</v>
      </c>
      <c r="J449" s="113">
        <f>D360</f>
        <v>113.89783053376846</v>
      </c>
      <c r="K449" s="114" t="s">
        <v>8</v>
      </c>
      <c r="L449" s="113"/>
      <c r="M449" s="114"/>
      <c r="N449" s="113">
        <f>D389</f>
        <v>202.86884780063559</v>
      </c>
      <c r="O449" s="114" t="s">
        <v>8</v>
      </c>
      <c r="P449" s="113">
        <f>D413</f>
        <v>220.76026931211624</v>
      </c>
      <c r="Q449" s="114" t="s">
        <v>8</v>
      </c>
    </row>
    <row r="450" spans="2:17" x14ac:dyDescent="0.25"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1"/>
    </row>
    <row r="451" spans="2:17" x14ac:dyDescent="0.25"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1"/>
    </row>
    <row r="452" spans="2:17" x14ac:dyDescent="0.25"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1"/>
    </row>
    <row r="453" spans="2:17" x14ac:dyDescent="0.25"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1"/>
    </row>
    <row r="454" spans="2:17" ht="18" x14ac:dyDescent="0.35">
      <c r="B454" s="80"/>
      <c r="C454" s="80"/>
      <c r="D454" s="80"/>
      <c r="E454" s="80"/>
      <c r="F454" s="80" t="s">
        <v>194</v>
      </c>
      <c r="G454" s="80"/>
      <c r="H454" s="80"/>
      <c r="I454" s="80"/>
      <c r="J454" s="81"/>
      <c r="K454" s="81"/>
      <c r="L454" s="80" t="s">
        <v>195</v>
      </c>
      <c r="M454" s="80"/>
      <c r="N454" s="80" t="s">
        <v>196</v>
      </c>
      <c r="O454" s="80"/>
      <c r="P454" s="80" t="s">
        <v>197</v>
      </c>
      <c r="Q454" s="81"/>
    </row>
    <row r="455" spans="2:17" x14ac:dyDescent="0.25">
      <c r="B455" s="80"/>
      <c r="C455" s="80"/>
      <c r="D455" s="80"/>
      <c r="E455" s="80"/>
      <c r="F455" s="80">
        <f>C294</f>
        <v>520</v>
      </c>
      <c r="G455" s="114" t="s">
        <v>8</v>
      </c>
      <c r="H455" s="80"/>
      <c r="I455" s="80"/>
      <c r="J455" s="81"/>
      <c r="K455" s="81"/>
      <c r="L455" s="113">
        <f>D375</f>
        <v>493.63496891305266</v>
      </c>
      <c r="M455" s="114" t="s">
        <v>8</v>
      </c>
      <c r="N455" s="113">
        <f>D391</f>
        <v>303.05099486267784</v>
      </c>
      <c r="O455" s="114" t="s">
        <v>8</v>
      </c>
      <c r="P455" s="113">
        <f>D415</f>
        <v>349.05263394923008</v>
      </c>
      <c r="Q455" s="114" t="s">
        <v>8</v>
      </c>
    </row>
    <row r="456" spans="2:17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9" spans="2:17" ht="18" x14ac:dyDescent="0.35">
      <c r="B459" s="115" t="s">
        <v>198</v>
      </c>
      <c r="C459" s="116"/>
      <c r="D459" s="116" t="s">
        <v>199</v>
      </c>
      <c r="E459" s="117"/>
    </row>
    <row r="460" spans="2:17" x14ac:dyDescent="0.25">
      <c r="B460" s="118">
        <f>MAX(D449,F449,H449,J449,N449,P449)</f>
        <v>220.76026931211624</v>
      </c>
      <c r="C460" s="119" t="s">
        <v>8</v>
      </c>
      <c r="D460" s="120">
        <f>MIN(L455,N455,P455)</f>
        <v>303.05099486267784</v>
      </c>
      <c r="E460" s="121" t="s">
        <v>8</v>
      </c>
    </row>
    <row r="463" spans="2:17" x14ac:dyDescent="0.25">
      <c r="B463" s="2" t="s">
        <v>244</v>
      </c>
      <c r="F463" s="10"/>
    </row>
    <row r="465" spans="2:15" x14ac:dyDescent="0.25">
      <c r="B465" s="136" t="s">
        <v>245</v>
      </c>
      <c r="C465" s="137" t="s">
        <v>19</v>
      </c>
      <c r="D465" s="45">
        <v>301.66000000000003</v>
      </c>
      <c r="E465" s="138" t="s">
        <v>8</v>
      </c>
      <c r="G465" s="139" t="s">
        <v>46</v>
      </c>
      <c r="H465" s="94" t="s">
        <v>250</v>
      </c>
      <c r="I465" s="140" t="s">
        <v>248</v>
      </c>
      <c r="J465" s="140">
        <v>175</v>
      </c>
      <c r="K465" s="140" t="s">
        <v>8</v>
      </c>
      <c r="L465" s="109" t="s">
        <v>46</v>
      </c>
      <c r="M465" s="94" t="s">
        <v>210</v>
      </c>
      <c r="N465" s="99">
        <f>SQRT(J465*C470)</f>
        <v>301.66206257996714</v>
      </c>
      <c r="O465" s="100" t="s">
        <v>8</v>
      </c>
    </row>
    <row r="466" spans="2:15" x14ac:dyDescent="0.25">
      <c r="B466" s="8"/>
      <c r="C466" s="8"/>
    </row>
    <row r="467" spans="2:15" x14ac:dyDescent="0.25">
      <c r="B467" s="8"/>
      <c r="C467" s="8"/>
    </row>
    <row r="468" spans="2:15" x14ac:dyDescent="0.25">
      <c r="B468" s="2" t="s">
        <v>246</v>
      </c>
    </row>
    <row r="470" spans="2:15" x14ac:dyDescent="0.25">
      <c r="B470" t="s">
        <v>247</v>
      </c>
      <c r="C470" s="4">
        <f>C97</f>
        <v>520</v>
      </c>
      <c r="D470" t="s">
        <v>8</v>
      </c>
      <c r="F470" t="s">
        <v>251</v>
      </c>
    </row>
    <row r="472" spans="2:15" x14ac:dyDescent="0.25">
      <c r="B472" s="93" t="s">
        <v>248</v>
      </c>
      <c r="C472" s="99">
        <f>(D465^2)/C470</f>
        <v>174.99760692307697</v>
      </c>
      <c r="D472" s="100" t="s">
        <v>8</v>
      </c>
      <c r="F472" t="s">
        <v>249</v>
      </c>
      <c r="K472" s="9" t="s">
        <v>262</v>
      </c>
    </row>
    <row r="475" spans="2:15" x14ac:dyDescent="0.25">
      <c r="K475" t="s">
        <v>252</v>
      </c>
    </row>
    <row r="479" spans="2:15" x14ac:dyDescent="0.25">
      <c r="K479" s="1" t="s">
        <v>253</v>
      </c>
    </row>
    <row r="485" spans="2:11" x14ac:dyDescent="0.25">
      <c r="B485" s="141" t="s">
        <v>254</v>
      </c>
      <c r="C485" s="142">
        <f>C472/(2*C470)</f>
        <v>0.16826692973372787</v>
      </c>
      <c r="D485" s="13" t="s">
        <v>102</v>
      </c>
      <c r="E485" s="114" t="str">
        <f>IF((AND(C485&gt;=(RADIANS(3)),C485&lt;=(RADIANS(30)))),"OK","BŁAD / ERROR")</f>
        <v>OK</v>
      </c>
    </row>
    <row r="488" spans="2:11" x14ac:dyDescent="0.25">
      <c r="K488" t="s">
        <v>256</v>
      </c>
    </row>
    <row r="491" spans="2:11" x14ac:dyDescent="0.25">
      <c r="C491" s="2"/>
      <c r="K491" t="s">
        <v>255</v>
      </c>
    </row>
    <row r="493" spans="2:11" x14ac:dyDescent="0.25">
      <c r="K493" s="1" t="s">
        <v>257</v>
      </c>
    </row>
    <row r="496" spans="2:11" x14ac:dyDescent="0.25">
      <c r="B496" s="1" t="s">
        <v>258</v>
      </c>
      <c r="C496" s="105">
        <f>'dane projektowe - design data '!O10</f>
        <v>0.90116672534685816</v>
      </c>
      <c r="D496" t="s">
        <v>102</v>
      </c>
    </row>
    <row r="498" spans="1:10" x14ac:dyDescent="0.25">
      <c r="B498" t="s">
        <v>211</v>
      </c>
      <c r="C498" s="105">
        <f>C496-(2*C485)</f>
        <v>0.56463286587940242</v>
      </c>
      <c r="D498" t="s">
        <v>102</v>
      </c>
    </row>
    <row r="501" spans="1:10" x14ac:dyDescent="0.25">
      <c r="J501" t="s">
        <v>260</v>
      </c>
    </row>
    <row r="505" spans="1:10" x14ac:dyDescent="0.25">
      <c r="J505" t="s">
        <v>259</v>
      </c>
    </row>
    <row r="508" spans="1:10" x14ac:dyDescent="0.25">
      <c r="B508" s="106" t="s">
        <v>261</v>
      </c>
      <c r="C508" s="99">
        <f>C470*C498</f>
        <v>293.60909025728927</v>
      </c>
      <c r="D508" s="107" t="s">
        <v>8</v>
      </c>
    </row>
    <row r="509" spans="1:10" x14ac:dyDescent="0.25">
      <c r="B509" s="2"/>
    </row>
    <row r="511" spans="1:10" ht="18" x14ac:dyDescent="0.35">
      <c r="A511" s="2"/>
      <c r="B511" s="81" t="s">
        <v>263</v>
      </c>
      <c r="C511" s="144" t="s">
        <v>46</v>
      </c>
      <c r="D511" s="81" t="s">
        <v>266</v>
      </c>
      <c r="E511" s="143">
        <f>C508</f>
        <v>293.60909025728927</v>
      </c>
      <c r="F511" s="81" t="s">
        <v>8</v>
      </c>
    </row>
    <row r="512" spans="1:10" x14ac:dyDescent="0.25">
      <c r="A512" s="2"/>
      <c r="B512" s="81"/>
      <c r="C512" s="81"/>
      <c r="D512" s="81"/>
      <c r="E512" s="143"/>
      <c r="F512" s="81"/>
    </row>
    <row r="513" spans="1:6" ht="18" x14ac:dyDescent="0.35">
      <c r="A513" s="2"/>
      <c r="B513" s="81" t="s">
        <v>264</v>
      </c>
      <c r="C513" s="144" t="s">
        <v>46</v>
      </c>
      <c r="D513" s="81" t="s">
        <v>265</v>
      </c>
      <c r="E513" s="143">
        <f>0.5*C508</f>
        <v>146.80454512864463</v>
      </c>
      <c r="F513" s="81" t="s">
        <v>8</v>
      </c>
    </row>
    <row r="515" spans="1:6" x14ac:dyDescent="0.25">
      <c r="D515" s="145" t="str">
        <f>IF((OR(C472&lt;E513,C472&gt;E511)),"POPRAW L / TO CORRECT L", "OK")</f>
        <v>OK</v>
      </c>
    </row>
    <row r="518" spans="1:6" x14ac:dyDescent="0.25">
      <c r="C518" s="2"/>
    </row>
    <row r="522" spans="1:6" x14ac:dyDescent="0.25">
      <c r="C522" s="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V282"/>
  <sheetViews>
    <sheetView zoomScaleNormal="100" workbookViewId="0"/>
  </sheetViews>
  <sheetFormatPr defaultRowHeight="15" x14ac:dyDescent="0.25"/>
  <sheetData>
    <row r="4" spans="15:19" x14ac:dyDescent="0.25">
      <c r="O4" s="81" t="s">
        <v>295</v>
      </c>
    </row>
    <row r="5" spans="15:19" ht="18" x14ac:dyDescent="0.35">
      <c r="S5" t="s">
        <v>305</v>
      </c>
    </row>
    <row r="6" spans="15:19" x14ac:dyDescent="0.25">
      <c r="O6" t="s">
        <v>296</v>
      </c>
    </row>
    <row r="8" spans="15:19" x14ac:dyDescent="0.25">
      <c r="O8" t="s">
        <v>297</v>
      </c>
    </row>
    <row r="10" spans="15:19" x14ac:dyDescent="0.25">
      <c r="O10" t="s">
        <v>298</v>
      </c>
    </row>
    <row r="12" spans="15:19" x14ac:dyDescent="0.25">
      <c r="O12" t="s">
        <v>299</v>
      </c>
    </row>
    <row r="17" spans="15:15" x14ac:dyDescent="0.25">
      <c r="O17" s="81" t="s">
        <v>300</v>
      </c>
    </row>
    <row r="18" spans="15:15" ht="18" x14ac:dyDescent="0.35">
      <c r="O18" t="s">
        <v>305</v>
      </c>
    </row>
    <row r="19" spans="15:15" x14ac:dyDescent="0.25">
      <c r="O19" t="s">
        <v>301</v>
      </c>
    </row>
    <row r="20" spans="15:15" x14ac:dyDescent="0.25">
      <c r="O20" t="s">
        <v>302</v>
      </c>
    </row>
    <row r="26" spans="15:15" x14ac:dyDescent="0.25">
      <c r="O26" s="81" t="s">
        <v>303</v>
      </c>
    </row>
    <row r="27" spans="15:15" ht="18" x14ac:dyDescent="0.35">
      <c r="O27" t="s">
        <v>305</v>
      </c>
    </row>
    <row r="28" spans="15:15" x14ac:dyDescent="0.25">
      <c r="O28" t="s">
        <v>304</v>
      </c>
    </row>
    <row r="35" spans="2:48" ht="18" x14ac:dyDescent="0.35">
      <c r="B35" t="s">
        <v>228</v>
      </c>
      <c r="C35">
        <f>'dane projektowe - design data '!K4</f>
        <v>50</v>
      </c>
      <c r="D35" t="s">
        <v>45</v>
      </c>
      <c r="F35" t="s">
        <v>229</v>
      </c>
      <c r="I35" s="39">
        <v>0</v>
      </c>
      <c r="J35" s="77" t="s">
        <v>45</v>
      </c>
      <c r="L35" s="2" t="s">
        <v>239</v>
      </c>
    </row>
    <row r="36" spans="2:48" ht="18" x14ac:dyDescent="0.35">
      <c r="L36" s="2" t="s">
        <v>240</v>
      </c>
    </row>
    <row r="37" spans="2:48" x14ac:dyDescent="0.25">
      <c r="B37" t="s">
        <v>202</v>
      </c>
      <c r="C37">
        <f>C35+I35</f>
        <v>50</v>
      </c>
      <c r="D37" t="s">
        <v>45</v>
      </c>
      <c r="E37" s="3" t="s">
        <v>46</v>
      </c>
      <c r="F37" s="4">
        <f>C37*1000/3600</f>
        <v>13.888888888888889</v>
      </c>
      <c r="G37" t="s">
        <v>47</v>
      </c>
    </row>
    <row r="39" spans="2:48" ht="18" x14ac:dyDescent="0.35">
      <c r="B39" t="s">
        <v>221</v>
      </c>
      <c r="C39">
        <v>1</v>
      </c>
      <c r="D39" t="s">
        <v>220</v>
      </c>
      <c r="AJ39" s="81" t="s">
        <v>306</v>
      </c>
    </row>
    <row r="40" spans="2:48" ht="17.25" x14ac:dyDescent="0.25">
      <c r="B40" t="s">
        <v>219</v>
      </c>
      <c r="C40">
        <v>9.81</v>
      </c>
      <c r="D40" t="s">
        <v>218</v>
      </c>
    </row>
    <row r="41" spans="2:48" ht="18" x14ac:dyDescent="0.35">
      <c r="B41" s="1" t="s">
        <v>217</v>
      </c>
      <c r="C41">
        <v>0.35</v>
      </c>
      <c r="AJ41" t="s">
        <v>307</v>
      </c>
    </row>
    <row r="42" spans="2:48" x14ac:dyDescent="0.25">
      <c r="B42" s="1" t="s">
        <v>216</v>
      </c>
      <c r="C42">
        <v>1.7999999999999999E-2</v>
      </c>
    </row>
    <row r="43" spans="2:48" x14ac:dyDescent="0.25">
      <c r="Y43" s="96" t="s">
        <v>222</v>
      </c>
      <c r="AB43" t="s">
        <v>223</v>
      </c>
    </row>
    <row r="44" spans="2:48" x14ac:dyDescent="0.25">
      <c r="B44" s="39" t="s">
        <v>215</v>
      </c>
      <c r="C44" s="45">
        <v>-1.26</v>
      </c>
      <c r="D44" s="41" t="s">
        <v>41</v>
      </c>
      <c r="E44" s="41"/>
      <c r="F44" s="41" t="s">
        <v>214</v>
      </c>
      <c r="G44" s="45">
        <v>5.79</v>
      </c>
      <c r="H44" s="77" t="s">
        <v>41</v>
      </c>
      <c r="AV44" s="96" t="s">
        <v>222</v>
      </c>
    </row>
    <row r="46" spans="2:48" ht="18" x14ac:dyDescent="0.35">
      <c r="B46" s="122" t="s">
        <v>213</v>
      </c>
      <c r="C46">
        <f>(C44+G44)/2</f>
        <v>2.2650000000000001</v>
      </c>
      <c r="D46" t="s">
        <v>41</v>
      </c>
      <c r="E46" t="s">
        <v>212</v>
      </c>
    </row>
    <row r="50" spans="2:4" x14ac:dyDescent="0.25">
      <c r="B50" s="93" t="s">
        <v>204</v>
      </c>
      <c r="C50" s="99">
        <f>(F37*C39)+((F37^2)/(2*C40*((0.95*C41)+C42-ABS((C46/100)))))+10</f>
        <v>53.877808227902705</v>
      </c>
      <c r="D50" s="100" t="s">
        <v>8</v>
      </c>
    </row>
    <row r="52" spans="2:4" x14ac:dyDescent="0.25">
      <c r="B52" s="81" t="s">
        <v>224</v>
      </c>
    </row>
    <row r="77" spans="2:10" x14ac:dyDescent="0.25">
      <c r="B77" s="2" t="s">
        <v>231</v>
      </c>
      <c r="J77" s="2" t="s">
        <v>232</v>
      </c>
    </row>
    <row r="79" spans="2:10" x14ac:dyDescent="0.25">
      <c r="B79" t="s">
        <v>209</v>
      </c>
    </row>
    <row r="81" spans="2:7" x14ac:dyDescent="0.25">
      <c r="B81" s="123" t="s">
        <v>211</v>
      </c>
      <c r="C81" s="9">
        <f>ABS(C44-G44)</f>
        <v>7.05</v>
      </c>
      <c r="D81" s="9" t="s">
        <v>41</v>
      </c>
    </row>
    <row r="83" spans="2:7" x14ac:dyDescent="0.25">
      <c r="B83" s="124" t="s">
        <v>210</v>
      </c>
      <c r="C83" s="131">
        <v>1</v>
      </c>
      <c r="D83" s="124" t="s">
        <v>8</v>
      </c>
    </row>
    <row r="85" spans="2:7" x14ac:dyDescent="0.25">
      <c r="B85" s="9" t="s">
        <v>204</v>
      </c>
      <c r="C85" s="98">
        <f>C50</f>
        <v>53.877808227902705</v>
      </c>
      <c r="D85" s="9" t="s">
        <v>8</v>
      </c>
    </row>
    <row r="87" spans="2:7" x14ac:dyDescent="0.25">
      <c r="B87" s="124" t="s">
        <v>225</v>
      </c>
      <c r="C87" s="125">
        <f>C83/(C81/100)</f>
        <v>14.184397163120568</v>
      </c>
      <c r="D87" s="124" t="s">
        <v>8</v>
      </c>
    </row>
    <row r="89" spans="2:7" x14ac:dyDescent="0.25">
      <c r="B89" s="93" t="str">
        <f>IF(C85&lt;=C87,"BRAK OBLICZEŃ / NOT CALCULATE Rmin","OBLICZ / CALCULATE Rmin =&gt;")</f>
        <v>OBLICZ / CALCULATE Rmin =&gt;</v>
      </c>
      <c r="C89" s="126"/>
      <c r="D89" s="126"/>
      <c r="E89" s="126"/>
      <c r="F89" s="126"/>
      <c r="G89" s="127"/>
    </row>
    <row r="92" spans="2:7" x14ac:dyDescent="0.25">
      <c r="B92" t="s">
        <v>206</v>
      </c>
    </row>
    <row r="94" spans="2:7" ht="18" x14ac:dyDescent="0.35">
      <c r="B94" s="14" t="s">
        <v>227</v>
      </c>
      <c r="C94" s="18">
        <f>((2/(C81/100))*(C85-C87))</f>
        <v>1126.0542146037487</v>
      </c>
      <c r="D94" s="128" t="s">
        <v>8</v>
      </c>
    </row>
    <row r="95" spans="2:7" x14ac:dyDescent="0.25">
      <c r="B95" s="9"/>
      <c r="C95" s="9"/>
      <c r="D95" s="9"/>
    </row>
    <row r="96" spans="2:7" x14ac:dyDescent="0.25">
      <c r="B96" s="9" t="s">
        <v>204</v>
      </c>
      <c r="C96" s="98">
        <f>C50</f>
        <v>53.877808227902705</v>
      </c>
      <c r="D96" s="9" t="s">
        <v>8</v>
      </c>
    </row>
    <row r="97" spans="2:9" x14ac:dyDescent="0.25">
      <c r="B97" s="9"/>
      <c r="C97" s="9"/>
      <c r="D97" s="9"/>
    </row>
    <row r="98" spans="2:9" x14ac:dyDescent="0.25">
      <c r="B98" s="9" t="s">
        <v>226</v>
      </c>
      <c r="C98" s="98">
        <f>(2*C83)/(C81/100)</f>
        <v>28.368794326241137</v>
      </c>
      <c r="D98" s="9" t="s">
        <v>8</v>
      </c>
    </row>
    <row r="100" spans="2:9" x14ac:dyDescent="0.25">
      <c r="B100" s="93" t="str">
        <f>IF(AND(C96&gt;C87,C96&lt;=C98),"PRZYJMIJ / ACCEPT Rmin","OBLICZ /CALCULATE Rmin =&gt;")</f>
        <v>OBLICZ /CALCULATE Rmin =&gt;</v>
      </c>
      <c r="C100" s="126"/>
      <c r="D100" s="126"/>
      <c r="E100" s="126"/>
      <c r="F100" s="126"/>
      <c r="G100" s="127"/>
    </row>
    <row r="104" spans="2:9" x14ac:dyDescent="0.25">
      <c r="B104" t="s">
        <v>205</v>
      </c>
    </row>
    <row r="106" spans="2:9" ht="18" x14ac:dyDescent="0.35">
      <c r="B106" s="14" t="s">
        <v>227</v>
      </c>
      <c r="C106" s="129">
        <f>(C108^2)/(2*C83)</f>
        <v>1451.4091097213302</v>
      </c>
      <c r="D106" s="130" t="s">
        <v>8</v>
      </c>
    </row>
    <row r="108" spans="2:9" x14ac:dyDescent="0.25">
      <c r="B108" s="9" t="s">
        <v>204</v>
      </c>
      <c r="C108" s="98">
        <f>C50</f>
        <v>53.877808227902705</v>
      </c>
      <c r="D108" s="9" t="s">
        <v>8</v>
      </c>
    </row>
    <row r="109" spans="2:9" x14ac:dyDescent="0.25">
      <c r="B109" s="9"/>
      <c r="C109" s="9"/>
      <c r="D109" s="9"/>
    </row>
    <row r="110" spans="2:9" x14ac:dyDescent="0.25">
      <c r="B110" s="9" t="s">
        <v>226</v>
      </c>
      <c r="C110" s="98">
        <f>C98</f>
        <v>28.368794326241137</v>
      </c>
      <c r="D110" s="9" t="s">
        <v>8</v>
      </c>
    </row>
    <row r="111" spans="2:9" x14ac:dyDescent="0.25">
      <c r="B111" s="9"/>
      <c r="C111" s="98"/>
      <c r="D111" s="9"/>
    </row>
    <row r="112" spans="2:9" x14ac:dyDescent="0.25">
      <c r="B112" s="93" t="str">
        <f>IF(C108&lt;=C110,"WCZEŚNIEJSZE WARUNKI SPEŁNIONE/PREVIOUS CONDITIONS FULFILLED","PRZYJMIJ / ACCEPT Rmin")</f>
        <v>PRZYJMIJ / ACCEPT Rmin</v>
      </c>
      <c r="C112" s="126"/>
      <c r="D112" s="126"/>
      <c r="E112" s="126"/>
      <c r="F112" s="126"/>
      <c r="G112" s="127"/>
      <c r="H112" s="126"/>
      <c r="I112" s="127"/>
    </row>
    <row r="114" spans="2:12" x14ac:dyDescent="0.25">
      <c r="B114" t="s">
        <v>230</v>
      </c>
      <c r="L114" t="s">
        <v>201</v>
      </c>
    </row>
    <row r="124" spans="2:12" x14ac:dyDescent="0.25">
      <c r="B124" s="2" t="s">
        <v>234</v>
      </c>
      <c r="J124" s="2" t="s">
        <v>233</v>
      </c>
    </row>
    <row r="126" spans="2:12" x14ac:dyDescent="0.25">
      <c r="B126" t="s">
        <v>209</v>
      </c>
    </row>
    <row r="127" spans="2:12" x14ac:dyDescent="0.25">
      <c r="B127" s="9"/>
      <c r="C127" s="9"/>
      <c r="D127" s="9"/>
    </row>
    <row r="128" spans="2:12" x14ac:dyDescent="0.25">
      <c r="B128" s="123" t="s">
        <v>200</v>
      </c>
      <c r="C128" s="9">
        <f>C81</f>
        <v>7.05</v>
      </c>
      <c r="D128" s="9" t="s">
        <v>41</v>
      </c>
    </row>
    <row r="129" spans="2:7" x14ac:dyDescent="0.25">
      <c r="B129" s="9"/>
      <c r="C129" s="9"/>
      <c r="D129" s="9"/>
    </row>
    <row r="130" spans="2:7" x14ac:dyDescent="0.25">
      <c r="B130" s="123" t="s">
        <v>208</v>
      </c>
      <c r="C130" s="9">
        <v>1.7399999999999999E-2</v>
      </c>
      <c r="D130" s="9" t="s">
        <v>102</v>
      </c>
    </row>
    <row r="131" spans="2:7" x14ac:dyDescent="0.25">
      <c r="B131" s="9"/>
      <c r="C131" s="9"/>
      <c r="D131" s="9"/>
    </row>
    <row r="132" spans="2:7" x14ac:dyDescent="0.25">
      <c r="B132" s="9" t="s">
        <v>51</v>
      </c>
      <c r="C132" s="9">
        <v>0.75</v>
      </c>
      <c r="D132" s="9" t="s">
        <v>8</v>
      </c>
    </row>
    <row r="133" spans="2:7" x14ac:dyDescent="0.25">
      <c r="B133" s="9"/>
      <c r="C133" s="9"/>
      <c r="D133" s="9"/>
    </row>
    <row r="134" spans="2:7" x14ac:dyDescent="0.25">
      <c r="B134" s="9"/>
      <c r="C134" s="9"/>
      <c r="D134" s="9"/>
    </row>
    <row r="135" spans="2:7" x14ac:dyDescent="0.25">
      <c r="B135" s="123" t="s">
        <v>200</v>
      </c>
      <c r="C135" s="132">
        <f>C128/100</f>
        <v>7.0499999999999993E-2</v>
      </c>
    </row>
    <row r="136" spans="2:7" x14ac:dyDescent="0.25">
      <c r="B136" s="9"/>
      <c r="C136" s="132"/>
      <c r="D136" s="9"/>
    </row>
    <row r="137" spans="2:7" x14ac:dyDescent="0.25">
      <c r="B137" s="123" t="s">
        <v>207</v>
      </c>
      <c r="C137" s="132">
        <f>2*C130</f>
        <v>3.4799999999999998E-2</v>
      </c>
      <c r="D137" s="9"/>
    </row>
    <row r="138" spans="2:7" x14ac:dyDescent="0.25">
      <c r="B138" s="123"/>
      <c r="C138" s="132"/>
      <c r="D138" s="9"/>
    </row>
    <row r="139" spans="2:7" x14ac:dyDescent="0.25">
      <c r="B139" s="93" t="str">
        <f>IF(C135&lt;=C137,"BRAK OBLICZEŃ / NOT CALCULATE Rmin","OBLICZ / CALCULATE Rmin =&gt;")</f>
        <v>OBLICZ / CALCULATE Rmin =&gt;</v>
      </c>
      <c r="C139" s="133"/>
      <c r="D139" s="134"/>
      <c r="E139" s="126"/>
      <c r="F139" s="126"/>
      <c r="G139" s="127"/>
    </row>
    <row r="142" spans="2:7" x14ac:dyDescent="0.25">
      <c r="B142" t="s">
        <v>206</v>
      </c>
    </row>
    <row r="144" spans="2:7" ht="18" x14ac:dyDescent="0.35">
      <c r="B144" s="14" t="s">
        <v>227</v>
      </c>
      <c r="C144" s="129">
        <f>(2/C135)*(C146-((C132+(C146*C130))/C135))</f>
        <v>849.41868795397966</v>
      </c>
      <c r="D144" s="130" t="s">
        <v>8</v>
      </c>
    </row>
    <row r="146" spans="2:7" x14ac:dyDescent="0.25">
      <c r="B146" s="9" t="s">
        <v>204</v>
      </c>
      <c r="C146" s="98">
        <f>C96</f>
        <v>53.877808227902705</v>
      </c>
      <c r="D146" s="9" t="s">
        <v>8</v>
      </c>
    </row>
    <row r="147" spans="2:7" x14ac:dyDescent="0.25">
      <c r="B147" s="9"/>
      <c r="C147" s="9"/>
      <c r="D147" s="9"/>
    </row>
    <row r="148" spans="2:7" x14ac:dyDescent="0.25">
      <c r="B148" s="9" t="s">
        <v>235</v>
      </c>
      <c r="C148" s="98">
        <f>C132/(C135-C130)</f>
        <v>14.124293785310735</v>
      </c>
      <c r="D148" s="9" t="s">
        <v>8</v>
      </c>
    </row>
    <row r="149" spans="2:7" x14ac:dyDescent="0.25">
      <c r="B149" s="9"/>
      <c r="C149" s="98"/>
      <c r="D149" s="9"/>
    </row>
    <row r="150" spans="2:7" x14ac:dyDescent="0.25">
      <c r="B150" s="9" t="s">
        <v>236</v>
      </c>
      <c r="C150" s="98">
        <f>(2*C132)/(C135-(C137))</f>
        <v>42.016806722689083</v>
      </c>
      <c r="D150" s="9" t="s">
        <v>8</v>
      </c>
    </row>
    <row r="152" spans="2:7" x14ac:dyDescent="0.25">
      <c r="B152" s="93" t="str">
        <f>IF(AND(C146&gt;C148,C146&lt;=C150),"PRZYJMIJ / ACCEPT Rmin","OBLICZ /CALCULATE Rmin =&gt;")</f>
        <v>OBLICZ /CALCULATE Rmin =&gt;</v>
      </c>
      <c r="C152" s="126"/>
      <c r="D152" s="126"/>
      <c r="E152" s="126"/>
      <c r="F152" s="126"/>
      <c r="G152" s="127"/>
    </row>
    <row r="155" spans="2:7" x14ac:dyDescent="0.25">
      <c r="B155" t="s">
        <v>205</v>
      </c>
    </row>
    <row r="157" spans="2:7" ht="18" x14ac:dyDescent="0.35">
      <c r="B157" s="14" t="s">
        <v>227</v>
      </c>
      <c r="C157" s="129">
        <f>(C146^2)/(2*(C132+(C146*C130)))</f>
        <v>860.10760901425385</v>
      </c>
      <c r="D157" s="130" t="s">
        <v>8</v>
      </c>
    </row>
    <row r="159" spans="2:7" x14ac:dyDescent="0.25">
      <c r="B159" s="9" t="s">
        <v>204</v>
      </c>
      <c r="C159" s="98">
        <f>C146</f>
        <v>53.877808227902705</v>
      </c>
      <c r="D159" s="9" t="s">
        <v>8</v>
      </c>
    </row>
    <row r="160" spans="2:7" x14ac:dyDescent="0.25">
      <c r="B160" s="9"/>
      <c r="C160" s="9"/>
      <c r="D160" s="9"/>
    </row>
    <row r="161" spans="2:12" x14ac:dyDescent="0.25">
      <c r="B161" s="9" t="s">
        <v>203</v>
      </c>
      <c r="C161" s="9">
        <f>2*C132</f>
        <v>1.5</v>
      </c>
      <c r="D161" s="9" t="s">
        <v>8</v>
      </c>
    </row>
    <row r="162" spans="2:12" x14ac:dyDescent="0.25">
      <c r="B162" s="9"/>
      <c r="C162" s="9"/>
      <c r="D162" s="9"/>
    </row>
    <row r="163" spans="2:12" x14ac:dyDescent="0.25">
      <c r="B163" s="9" t="s">
        <v>236</v>
      </c>
      <c r="C163" s="98">
        <f>C161/(C135-C137)</f>
        <v>42.016806722689083</v>
      </c>
      <c r="D163" s="9" t="s">
        <v>8</v>
      </c>
    </row>
    <row r="165" spans="2:12" x14ac:dyDescent="0.25">
      <c r="B165" s="93" t="str">
        <f>IF(C159&lt;=C163,"WCZEŚNIEJSZE WARUNKI SPEŁNIONE/PREVIOUS CONDITIONS FULFILLED","PRZYJMIJ / ACCEPT Rmin")</f>
        <v>PRZYJMIJ / ACCEPT Rmin</v>
      </c>
      <c r="C165" s="126"/>
      <c r="D165" s="126"/>
      <c r="E165" s="126"/>
      <c r="F165" s="126"/>
      <c r="G165" s="127"/>
      <c r="H165" s="126"/>
      <c r="I165" s="127"/>
    </row>
    <row r="167" spans="2:12" x14ac:dyDescent="0.25">
      <c r="B167" t="s">
        <v>230</v>
      </c>
      <c r="L167" t="s">
        <v>201</v>
      </c>
    </row>
    <row r="186" spans="2:12" x14ac:dyDescent="0.25">
      <c r="B186" s="2" t="s">
        <v>238</v>
      </c>
      <c r="K186" s="135" t="s">
        <v>237</v>
      </c>
    </row>
    <row r="188" spans="2:12" ht="18" x14ac:dyDescent="0.35">
      <c r="B188" t="s">
        <v>228</v>
      </c>
      <c r="C188">
        <f>C35</f>
        <v>50</v>
      </c>
      <c r="D188" t="s">
        <v>45</v>
      </c>
      <c r="F188" t="s">
        <v>229</v>
      </c>
      <c r="I188" s="39">
        <v>0</v>
      </c>
      <c r="J188" s="77" t="s">
        <v>45</v>
      </c>
      <c r="L188" s="2" t="s">
        <v>239</v>
      </c>
    </row>
    <row r="189" spans="2:12" ht="18" x14ac:dyDescent="0.35">
      <c r="L189" s="2" t="s">
        <v>240</v>
      </c>
    </row>
    <row r="190" spans="2:12" x14ac:dyDescent="0.25">
      <c r="B190" t="s">
        <v>202</v>
      </c>
      <c r="C190">
        <f>C188+I188</f>
        <v>50</v>
      </c>
      <c r="D190" t="s">
        <v>45</v>
      </c>
      <c r="E190" s="3" t="s">
        <v>46</v>
      </c>
      <c r="F190" s="4">
        <f>C190*1000/3600</f>
        <v>13.888888888888889</v>
      </c>
      <c r="G190" t="s">
        <v>47</v>
      </c>
    </row>
    <row r="193" spans="2:11" ht="18" x14ac:dyDescent="0.35">
      <c r="B193" s="14" t="s">
        <v>227</v>
      </c>
      <c r="C193" s="129">
        <f>0.154*(C190^2)</f>
        <v>385</v>
      </c>
      <c r="D193" s="130" t="s">
        <v>8</v>
      </c>
    </row>
    <row r="194" spans="2:11" x14ac:dyDescent="0.25">
      <c r="B194" s="2"/>
      <c r="C194" s="4"/>
    </row>
    <row r="203" spans="2:11" x14ac:dyDescent="0.25">
      <c r="B203" s="2" t="s">
        <v>242</v>
      </c>
      <c r="K203" s="135" t="s">
        <v>241</v>
      </c>
    </row>
    <row r="205" spans="2:11" x14ac:dyDescent="0.25">
      <c r="B205" s="1" t="s">
        <v>200</v>
      </c>
      <c r="C205">
        <f>C128</f>
        <v>7.05</v>
      </c>
      <c r="D205" t="s">
        <v>41</v>
      </c>
    </row>
    <row r="208" spans="2:11" ht="18" x14ac:dyDescent="0.35">
      <c r="B208" s="14" t="s">
        <v>227</v>
      </c>
      <c r="C208" s="129">
        <f>(100*C188)/C205</f>
        <v>709.21985815602841</v>
      </c>
      <c r="D208" s="130" t="s">
        <v>8</v>
      </c>
    </row>
    <row r="220" spans="2:10" x14ac:dyDescent="0.25">
      <c r="B220" t="s">
        <v>230</v>
      </c>
      <c r="J220" t="s">
        <v>201</v>
      </c>
    </row>
    <row r="231" spans="2:19" x14ac:dyDescent="0.25">
      <c r="B231" s="81"/>
    </row>
    <row r="232" spans="2:19" x14ac:dyDescent="0.25">
      <c r="B232" s="81"/>
    </row>
    <row r="233" spans="2:19" x14ac:dyDescent="0.25">
      <c r="B233" s="81"/>
    </row>
    <row r="234" spans="2:19" x14ac:dyDescent="0.25">
      <c r="B234" s="81"/>
    </row>
    <row r="237" spans="2:19" x14ac:dyDescent="0.25">
      <c r="B237" s="2" t="s">
        <v>293</v>
      </c>
      <c r="K237" s="135" t="s">
        <v>243</v>
      </c>
    </row>
    <row r="239" spans="2:19" x14ac:dyDescent="0.25">
      <c r="S239" s="81" t="s">
        <v>292</v>
      </c>
    </row>
    <row r="241" spans="2:22" ht="18" x14ac:dyDescent="0.35">
      <c r="S241" s="2" t="s">
        <v>291</v>
      </c>
    </row>
    <row r="243" spans="2:22" x14ac:dyDescent="0.25">
      <c r="S243" s="2" t="s">
        <v>290</v>
      </c>
    </row>
    <row r="246" spans="2:22" x14ac:dyDescent="0.25">
      <c r="V246" s="2" t="s">
        <v>287</v>
      </c>
    </row>
    <row r="248" spans="2:22" x14ac:dyDescent="0.25">
      <c r="S248" s="2" t="s">
        <v>289</v>
      </c>
    </row>
    <row r="249" spans="2:22" x14ac:dyDescent="0.25">
      <c r="V249" s="2" t="s">
        <v>288</v>
      </c>
    </row>
    <row r="252" spans="2:22" x14ac:dyDescent="0.25">
      <c r="B252" s="81"/>
    </row>
    <row r="278" spans="17:17" x14ac:dyDescent="0.25">
      <c r="Q278" s="81"/>
    </row>
    <row r="280" spans="17:17" x14ac:dyDescent="0.25">
      <c r="Q280" s="2"/>
    </row>
    <row r="282" spans="17:17" x14ac:dyDescent="0.25">
      <c r="Q282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dane projektowe - design data </vt:lpstr>
      <vt:lpstr>trasa w planie - H aligment</vt:lpstr>
      <vt:lpstr>łuki poziome - H curve</vt:lpstr>
      <vt:lpstr>łuki pionowe - V curve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 B</dc:creator>
  <cp:lastModifiedBy>M B</cp:lastModifiedBy>
  <dcterms:created xsi:type="dcterms:W3CDTF">2024-12-08T22:06:36Z</dcterms:created>
  <dcterms:modified xsi:type="dcterms:W3CDTF">2025-04-02T20:17:57Z</dcterms:modified>
</cp:coreProperties>
</file>